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7740" windowWidth="9120" windowHeight="4440" tabRatio="618" activeTab="1"/>
  </bookViews>
  <sheets>
    <sheet name="MF" sheetId="1" r:id="rId1"/>
    <sheet name="ÚFO" sheetId="2" r:id="rId2"/>
    <sheet name="GŘC" sheetId="3" r:id="rId3"/>
    <sheet name="ÚZSVM" sheetId="4" r:id="rId4"/>
    <sheet name="Kapitola MF" sheetId="5" r:id="rId5"/>
    <sheet name="List1" sheetId="6" r:id="rId6"/>
  </sheets>
  <definedNames>
    <definedName name="_xlnm.Print_Titles" localSheetId="4">'Kapitola MF'!$A:$AF,'Kapitola MF'!$6:$15</definedName>
  </definedNames>
  <calcPr fullCalcOnLoad="1"/>
</workbook>
</file>

<file path=xl/sharedStrings.xml><?xml version="1.0" encoding="utf-8"?>
<sst xmlns="http://schemas.openxmlformats.org/spreadsheetml/2006/main" count="997" uniqueCount="262">
  <si>
    <t>Rozpočet</t>
  </si>
  <si>
    <t xml:space="preserve">              </t>
  </si>
  <si>
    <t>Příjmy</t>
  </si>
  <si>
    <t>Běžné  výdaje</t>
  </si>
  <si>
    <t>Výdaje</t>
  </si>
  <si>
    <t>z toho:</t>
  </si>
  <si>
    <t>Druh</t>
  </si>
  <si>
    <t>z toho :</t>
  </si>
  <si>
    <t>platy zam a ost. platby za prov. práci</t>
  </si>
  <si>
    <t>pojistné</t>
  </si>
  <si>
    <t>příděl</t>
  </si>
  <si>
    <t>ostatní</t>
  </si>
  <si>
    <t>Programy</t>
  </si>
  <si>
    <t>rozpoč.</t>
  </si>
  <si>
    <t>nedaňové</t>
  </si>
  <si>
    <t>pojistné na soc.zab.</t>
  </si>
  <si>
    <t xml:space="preserve">                 z toho:</t>
  </si>
  <si>
    <t>FKSP</t>
  </si>
  <si>
    <t>soc.</t>
  </si>
  <si>
    <t>celkem</t>
  </si>
  <si>
    <t>příprava</t>
  </si>
  <si>
    <t>opatření</t>
  </si>
  <si>
    <t>číslo</t>
  </si>
  <si>
    <t>kapitálové</t>
  </si>
  <si>
    <t>platy</t>
  </si>
  <si>
    <t>OPPP</t>
  </si>
  <si>
    <t>dávky</t>
  </si>
  <si>
    <t>výdaje</t>
  </si>
  <si>
    <t>programy</t>
  </si>
  <si>
    <t>politika</t>
  </si>
  <si>
    <t>(kód)</t>
  </si>
  <si>
    <t>rozp. opatření</t>
  </si>
  <si>
    <t>přij.dotace</t>
  </si>
  <si>
    <t>důch.p.</t>
  </si>
  <si>
    <t>situace</t>
  </si>
  <si>
    <t>Rozp.opatření č.</t>
  </si>
  <si>
    <t>Rozp. op. 1. čtvrtl.</t>
  </si>
  <si>
    <t>Rozp. op. 2. čtvrtl.</t>
  </si>
  <si>
    <t>Rozp. op. 3. čtvrtl.</t>
  </si>
  <si>
    <t>Rozp. op. 4.čtvrtl.</t>
  </si>
  <si>
    <t>Rozp. op. celkem</t>
  </si>
  <si>
    <t>Vysvětlivky:</t>
  </si>
  <si>
    <t>kód 1</t>
  </si>
  <si>
    <t>rozpočtová opatření provedená v kompetenci ústředního orgánu (nemění se závazné ukazatele kapitoly)</t>
  </si>
  <si>
    <t>kód 3</t>
  </si>
  <si>
    <t>rozpočtová opatření provedená  na základě návrhu resortu schvalovaná Ministerstvem financí (změna závazných ukazatelů kapitoly)</t>
  </si>
  <si>
    <t>kód 5</t>
  </si>
  <si>
    <t>rozpočtové opatření provedená  na základě usnesení vlády o úpravě celkových objemů schváleného státního rozpočtu ČR (tento kód se používá dle dispozic MF)</t>
  </si>
  <si>
    <t>běžné</t>
  </si>
  <si>
    <t>mimo</t>
  </si>
  <si>
    <t xml:space="preserve"> věcné výdaje</t>
  </si>
  <si>
    <t>z toho rezerva ÚFO</t>
  </si>
  <si>
    <t xml:space="preserve"> </t>
  </si>
  <si>
    <t>č.15 - čj. 32538</t>
  </si>
  <si>
    <t>č.17 - čj. 33154</t>
  </si>
  <si>
    <t>č.18 - čj. 31164</t>
  </si>
  <si>
    <t>č.20 - čj. 36760</t>
  </si>
  <si>
    <t>č.22 - čj.41317</t>
  </si>
  <si>
    <t>č.23 - čj. 46799</t>
  </si>
  <si>
    <t>č.25 - čj. 51317</t>
  </si>
  <si>
    <t>č.27 -čj. 54992</t>
  </si>
  <si>
    <t>č.28. - čj.56 598</t>
  </si>
  <si>
    <t>č.29 - čj.58 436</t>
  </si>
  <si>
    <t>č.32 - čj.64 709</t>
  </si>
  <si>
    <t>Kapitálové</t>
  </si>
  <si>
    <t>investičního majetku</t>
  </si>
  <si>
    <t>Programy reprodukce</t>
  </si>
  <si>
    <t>č.33 - čj.68 688</t>
  </si>
  <si>
    <t>č.35 - čj.75 145</t>
  </si>
  <si>
    <t>č.36 - čj.75 282</t>
  </si>
  <si>
    <t>č.38 - čj.79 708</t>
  </si>
  <si>
    <t>č.39 - čj.79 891</t>
  </si>
  <si>
    <t>č.41 - čj.81 645</t>
  </si>
  <si>
    <t>č.42 - čj.85 736</t>
  </si>
  <si>
    <t>č.43 - čj.88 423</t>
  </si>
  <si>
    <t>č.44 - čj.87 964</t>
  </si>
  <si>
    <t>č.46 - čj.89 946</t>
  </si>
  <si>
    <t>č.47 - čj.91 075</t>
  </si>
  <si>
    <t>č.48 - čj.93 802</t>
  </si>
  <si>
    <t>č.50 - čj.95 273</t>
  </si>
  <si>
    <t>č.52 - čj.100 761</t>
  </si>
  <si>
    <t>č.53 - čj.100 914</t>
  </si>
  <si>
    <t>č. 55 - čj. 103 276</t>
  </si>
  <si>
    <t>č. 57 - čj. 107 885</t>
  </si>
  <si>
    <t>č. 58 - čj. 109 228</t>
  </si>
  <si>
    <t>Upr. rozp. k  31. 3.</t>
  </si>
  <si>
    <t>proti-</t>
  </si>
  <si>
    <t>drogová</t>
  </si>
  <si>
    <t>na kriz.</t>
  </si>
  <si>
    <t>z toho</t>
  </si>
  <si>
    <t>platy PBS</t>
  </si>
  <si>
    <t>Správa</t>
  </si>
  <si>
    <t>Finanční</t>
  </si>
  <si>
    <t xml:space="preserve">majetku </t>
  </si>
  <si>
    <t>zab .pl.</t>
  </si>
  <si>
    <t>mechan.</t>
  </si>
  <si>
    <t>státu</t>
  </si>
  <si>
    <t>úkolů</t>
  </si>
  <si>
    <t>EHP/</t>
  </si>
  <si>
    <t>a zastup.</t>
  </si>
  <si>
    <t>ústř.org.</t>
  </si>
  <si>
    <t>Norsko</t>
  </si>
  <si>
    <t>č.1 - čj. 10 557</t>
  </si>
  <si>
    <t xml:space="preserve">Daňová </t>
  </si>
  <si>
    <t>správa</t>
  </si>
  <si>
    <t>finanč.</t>
  </si>
  <si>
    <t>orgány</t>
  </si>
  <si>
    <t>průřezové ukazatele</t>
  </si>
  <si>
    <t xml:space="preserve">celní </t>
  </si>
  <si>
    <t>z toho:      specifické ukazatele</t>
  </si>
  <si>
    <t xml:space="preserve">ostatní </t>
  </si>
  <si>
    <t xml:space="preserve">platy </t>
  </si>
  <si>
    <t>ve státní</t>
  </si>
  <si>
    <t>správě</t>
  </si>
  <si>
    <t>zaměst.</t>
  </si>
  <si>
    <t>státní moci</t>
  </si>
  <si>
    <t>na</t>
  </si>
  <si>
    <t>mezinár.</t>
  </si>
  <si>
    <t>konference</t>
  </si>
  <si>
    <t>Mezinár.</t>
  </si>
  <si>
    <t>CITES</t>
  </si>
  <si>
    <t>kynologie</t>
  </si>
  <si>
    <t>Přehled rozpočtových opatření k  31. 3. 2007 - kapitola  312 celkem</t>
  </si>
  <si>
    <t>Schvál. rozp.2007</t>
  </si>
  <si>
    <r>
      <t>z toho:</t>
    </r>
    <r>
      <rPr>
        <sz val="10"/>
        <rFont val="Arial CE"/>
        <family val="0"/>
      </rPr>
      <t xml:space="preserve"> rezerva ÚFO</t>
    </r>
  </si>
  <si>
    <t>platy předst.</t>
  </si>
  <si>
    <t xml:space="preserve"> orgánů</t>
  </si>
  <si>
    <t>a některých</t>
  </si>
  <si>
    <t>EHP/Norsko</t>
  </si>
  <si>
    <t xml:space="preserve">Výdaje </t>
  </si>
  <si>
    <t>spojené s</t>
  </si>
  <si>
    <t>výkonem</t>
  </si>
  <si>
    <t>PRES EU</t>
  </si>
  <si>
    <t xml:space="preserve"> z toho:</t>
  </si>
  <si>
    <t>nedaň. kapit.a transfery celkem</t>
  </si>
  <si>
    <t>pojistné na s.z.</t>
  </si>
  <si>
    <t>příjmy</t>
  </si>
  <si>
    <t>z EU</t>
  </si>
  <si>
    <t xml:space="preserve">11. zasedání </t>
  </si>
  <si>
    <t>RILO WE</t>
  </si>
  <si>
    <t>poměru</t>
  </si>
  <si>
    <t>v pracov.</t>
  </si>
  <si>
    <t>platy zam.</t>
  </si>
  <si>
    <t>ozbr. sborů</t>
  </si>
  <si>
    <t xml:space="preserve"> a složek ve</t>
  </si>
  <si>
    <t>služeb. pom.</t>
  </si>
  <si>
    <t>v prac. pom.</t>
  </si>
  <si>
    <t>odvozené od</t>
  </si>
  <si>
    <t>pl. ústav.činit.</t>
  </si>
  <si>
    <t>spolufin.</t>
  </si>
  <si>
    <t>EU- 2007</t>
  </si>
  <si>
    <t>až 2013</t>
  </si>
  <si>
    <t xml:space="preserve">z toho:      </t>
  </si>
  <si>
    <t xml:space="preserve">z toho:     </t>
  </si>
  <si>
    <t>mzdové</t>
  </si>
  <si>
    <t>prostředky</t>
  </si>
  <si>
    <t xml:space="preserve">                </t>
  </si>
  <si>
    <t>daňové příjmy celkem</t>
  </si>
  <si>
    <t>bez. poj.</t>
  </si>
  <si>
    <t xml:space="preserve">daňové </t>
  </si>
  <si>
    <t>Zahraniční</t>
  </si>
  <si>
    <t>rozvojová</t>
  </si>
  <si>
    <t>pomoc</t>
  </si>
  <si>
    <t>Zahranič.</t>
  </si>
  <si>
    <t>rozvoj.</t>
  </si>
  <si>
    <t>EHP/Nor.</t>
  </si>
  <si>
    <t>Švýc.</t>
  </si>
  <si>
    <t>ost. průřezové ukazatele</t>
  </si>
  <si>
    <t>EHP/Nor.,Švýc.</t>
  </si>
  <si>
    <t>č. 7 - čj. 23 917</t>
  </si>
  <si>
    <t>č. 8 - čj. 29 239</t>
  </si>
  <si>
    <t>z toho:  specif. ukaz.</t>
  </si>
  <si>
    <t>EU-</t>
  </si>
  <si>
    <t>specif. ukaz.</t>
  </si>
  <si>
    <t xml:space="preserve">z toho: </t>
  </si>
  <si>
    <t>EU</t>
  </si>
  <si>
    <t>č.2 - čj. 18 035</t>
  </si>
  <si>
    <t>č.3 - čj. 20 100</t>
  </si>
  <si>
    <t>č.4 - čj. 23 992</t>
  </si>
  <si>
    <t>č.5 - čj. 21 864</t>
  </si>
  <si>
    <t>č.6 - čj. 25 043</t>
  </si>
  <si>
    <t>č.7 - čj. 26 317</t>
  </si>
  <si>
    <t>č.8 - čj. 25 068</t>
  </si>
  <si>
    <t>č.9 - čj. 31 060</t>
  </si>
  <si>
    <t>č.1b) - čj. 13 252</t>
  </si>
  <si>
    <t>č.1a) - čj. 13 252</t>
  </si>
  <si>
    <t>UR - vázání výdajů</t>
  </si>
  <si>
    <t>Schvál. rozp.2010</t>
  </si>
  <si>
    <t>č.10 - čj. 38 201</t>
  </si>
  <si>
    <t>č.11 - čj. 39 911</t>
  </si>
  <si>
    <t>č.12 - čj. 45 498</t>
  </si>
  <si>
    <t>Rozp. opatření č.</t>
  </si>
  <si>
    <t>č. 13 - čj. 56 773</t>
  </si>
  <si>
    <t>č.13 - čj. 56 773</t>
  </si>
  <si>
    <t>č.14 - čj. 58 368</t>
  </si>
  <si>
    <t>č.15 - čj. 59 427</t>
  </si>
  <si>
    <t>č.16 - čj. 60 200</t>
  </si>
  <si>
    <t>č.17 - čj. 60 902</t>
  </si>
  <si>
    <t>č.20 - čj. 64 854</t>
  </si>
  <si>
    <t>č.25 - čj. 70 837</t>
  </si>
  <si>
    <t>č.18 - čj. 59 837</t>
  </si>
  <si>
    <t>č.19 - čj. 62 873</t>
  </si>
  <si>
    <t>č.21 - čj. 66 060</t>
  </si>
  <si>
    <t>č.22 - čj. 65 045</t>
  </si>
  <si>
    <t>č.23 - čj. 66 061</t>
  </si>
  <si>
    <t>23 a)</t>
  </si>
  <si>
    <t xml:space="preserve">č.22 a) </t>
  </si>
  <si>
    <t>č.24 - čj. 68 646</t>
  </si>
  <si>
    <t>č.26 - čj. 70 840</t>
  </si>
  <si>
    <t>č.26 a)</t>
  </si>
  <si>
    <t>č.26 b)</t>
  </si>
  <si>
    <t>č.27. - čj.81 970</t>
  </si>
  <si>
    <t>č.28 - čj.83 589</t>
  </si>
  <si>
    <t>č.28 a)</t>
  </si>
  <si>
    <t>č.28 b)</t>
  </si>
  <si>
    <t>č.29 - čj.86 394</t>
  </si>
  <si>
    <t>č.29 a)</t>
  </si>
  <si>
    <t>č.29 b) - čj. 86 674</t>
  </si>
  <si>
    <t>č.30 - čj.88 726</t>
  </si>
  <si>
    <t>č.31 - čj.87 330</t>
  </si>
  <si>
    <t>č.32 - čj.90 353</t>
  </si>
  <si>
    <t>č.33 - čj.73 080</t>
  </si>
  <si>
    <t>č. 33 a)</t>
  </si>
  <si>
    <t>č. 33 b)</t>
  </si>
  <si>
    <t>č.32 a)</t>
  </si>
  <si>
    <t>č. 32 a)</t>
  </si>
  <si>
    <t>Přehled rozpočtových opatření k 31. 12. 2010  - územní finanční orgány</t>
  </si>
  <si>
    <t>Upr. rozp. k  31. 12.</t>
  </si>
  <si>
    <t>Přehled rozpočtových opatření k 31. 12. 2010 - kapitola  312 celkem</t>
  </si>
  <si>
    <t>č.34 - čj.97 986</t>
  </si>
  <si>
    <t>č.35 - čj.98 382</t>
  </si>
  <si>
    <t>č.36 - čj.108 695</t>
  </si>
  <si>
    <t>Přehled rozpočtových opatření k 31. 12. 2010 - Ministerstvo financí</t>
  </si>
  <si>
    <t>Přehled rozpočtových opatření k 31. 12. 2010 - Generální ředitelství cel</t>
  </si>
  <si>
    <t>Přehled rozpočtových opatření k 31. 12. 2010 - Úřad pro zastupování státu ve věcech majetkových</t>
  </si>
  <si>
    <t>č 36 a)</t>
  </si>
  <si>
    <t>č 36 b)</t>
  </si>
  <si>
    <t>č.37 - čj.111 292</t>
  </si>
  <si>
    <t>č.38 - čj.111 606</t>
  </si>
  <si>
    <t>č.39 - čj.111 735</t>
  </si>
  <si>
    <t>č 39 a)</t>
  </si>
  <si>
    <t>č.40 - čj.112 887</t>
  </si>
  <si>
    <t>č.41 - čj.114 372</t>
  </si>
  <si>
    <t>č.42 - čj.115 426</t>
  </si>
  <si>
    <t>č.43 - čj.115 534</t>
  </si>
  <si>
    <t>č 43 a)</t>
  </si>
  <si>
    <t>č.44 - čj.115 886</t>
  </si>
  <si>
    <t>č.45 - čj.118 447</t>
  </si>
  <si>
    <t>č.46 - čj.117 821</t>
  </si>
  <si>
    <t>č 46 a)</t>
  </si>
  <si>
    <t>č.47 - čj.117 992</t>
  </si>
  <si>
    <t>č.48 - čj.118 575</t>
  </si>
  <si>
    <t>č 48 a)</t>
  </si>
  <si>
    <t>č 48 b)</t>
  </si>
  <si>
    <t>č 48 c)</t>
  </si>
  <si>
    <t>č.49 - čj.122 206</t>
  </si>
  <si>
    <t>č.50 - čj.123 974</t>
  </si>
  <si>
    <t>č.51 - čj.121 029</t>
  </si>
  <si>
    <t>č.52 - čj.124 007</t>
  </si>
  <si>
    <t>č. 36 b)</t>
  </si>
  <si>
    <t>č 52 a)</t>
  </si>
  <si>
    <t>č 52 b)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</si>
</sst>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#,##0;\-\ #,##0"/>
    <numFmt numFmtId="165" formatCode="\+#,##0;\-#,##0"/>
    <numFmt numFmtId="166" formatCode="#,##0;[Red]#,##0"/>
    <numFmt numFmtId="167" formatCode="0;[Red]0"/>
    <numFmt numFmtId="168" formatCode="#,##0_ ;[Red]\-#,##0\ "/>
    <numFmt numFmtId="169" formatCode="\+#,##0;\-#,##0,"/>
    <numFmt numFmtId="170" formatCode="#,##0_ ;\-#,##0\ 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56"/>
      <name val="Arial CE"/>
      <family val="2"/>
    </font>
    <font>
      <sz val="10"/>
      <color indexed="2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color indexed="16"/>
      <name val="Arial CE"/>
      <family val="0"/>
    </font>
    <font>
      <u val="single"/>
      <sz val="10"/>
      <color indexed="16"/>
      <name val="Arial CE"/>
      <family val="0"/>
    </font>
    <font>
      <b/>
      <sz val="10"/>
      <color indexed="16"/>
      <name val="Arial CE"/>
      <family val="0"/>
    </font>
    <font>
      <b/>
      <sz val="9"/>
      <color indexed="16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0"/>
    </font>
    <font>
      <b/>
      <sz val="10"/>
      <color indexed="52"/>
      <name val="Arial CE"/>
      <family val="0"/>
    </font>
    <font>
      <sz val="10"/>
      <color indexed="52"/>
      <name val="Arial CE"/>
      <family val="0"/>
    </font>
    <font>
      <b/>
      <sz val="10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tted"/>
    </border>
    <border>
      <left style="medium"/>
      <right style="medium"/>
      <top style="dash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65" fontId="0" fillId="0" borderId="7" xfId="0" applyNumberFormat="1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4" xfId="0" applyBorder="1" applyAlignment="1">
      <alignment horizontal="left"/>
    </xf>
    <xf numFmtId="0" fontId="1" fillId="0" borderId="8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Continuous"/>
    </xf>
    <xf numFmtId="166" fontId="0" fillId="0" borderId="2" xfId="0" applyNumberFormat="1" applyBorder="1" applyAlignment="1">
      <alignment/>
    </xf>
    <xf numFmtId="0" fontId="0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6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/>
    </xf>
    <xf numFmtId="3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1" fillId="0" borderId="2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165" fontId="1" fillId="0" borderId="40" xfId="0" applyNumberFormat="1" applyFont="1" applyBorder="1" applyAlignment="1">
      <alignment/>
    </xf>
    <xf numFmtId="165" fontId="1" fillId="0" borderId="37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165" fontId="1" fillId="0" borderId="42" xfId="0" applyNumberFormat="1" applyFont="1" applyBorder="1" applyAlignment="1">
      <alignment horizontal="right"/>
    </xf>
    <xf numFmtId="165" fontId="0" fillId="0" borderId="43" xfId="0" applyNumberFormat="1" applyBorder="1" applyAlignment="1">
      <alignment/>
    </xf>
    <xf numFmtId="165" fontId="0" fillId="0" borderId="34" xfId="0" applyNumberFormat="1" applyBorder="1" applyAlignment="1">
      <alignment/>
    </xf>
    <xf numFmtId="0" fontId="0" fillId="0" borderId="44" xfId="0" applyBorder="1" applyAlignment="1">
      <alignment horizontal="center"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4" xfId="0" applyNumberFormat="1" applyBorder="1" applyAlignment="1">
      <alignment/>
    </xf>
    <xf numFmtId="0" fontId="0" fillId="0" borderId="44" xfId="0" applyNumberFormat="1" applyBorder="1" applyAlignment="1">
      <alignment horizontal="center"/>
    </xf>
    <xf numFmtId="169" fontId="0" fillId="0" borderId="47" xfId="0" applyNumberFormat="1" applyBorder="1" applyAlignment="1">
      <alignment/>
    </xf>
    <xf numFmtId="0" fontId="0" fillId="0" borderId="48" xfId="0" applyBorder="1" applyAlignment="1">
      <alignment horizontal="center"/>
    </xf>
    <xf numFmtId="165" fontId="1" fillId="0" borderId="49" xfId="0" applyNumberFormat="1" applyFont="1" applyBorder="1" applyAlignment="1">
      <alignment/>
    </xf>
    <xf numFmtId="165" fontId="1" fillId="0" borderId="50" xfId="0" applyNumberFormat="1" applyFont="1" applyBorder="1" applyAlignment="1">
      <alignment/>
    </xf>
    <xf numFmtId="165" fontId="1" fillId="0" borderId="51" xfId="0" applyNumberFormat="1" applyFont="1" applyBorder="1" applyAlignment="1">
      <alignment/>
    </xf>
    <xf numFmtId="165" fontId="1" fillId="0" borderId="48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165" fontId="1" fillId="0" borderId="47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1" fillId="0" borderId="52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18" xfId="0" applyBorder="1" applyAlignment="1">
      <alignment horizontal="center"/>
    </xf>
    <xf numFmtId="165" fontId="1" fillId="0" borderId="53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" fillId="0" borderId="3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3" fontId="0" fillId="0" borderId="4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5" fontId="1" fillId="0" borderId="55" xfId="0" applyNumberFormat="1" applyFont="1" applyBorder="1" applyAlignment="1">
      <alignment horizontal="right"/>
    </xf>
    <xf numFmtId="165" fontId="1" fillId="0" borderId="5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6" fontId="1" fillId="0" borderId="56" xfId="0" applyNumberFormat="1" applyFont="1" applyBorder="1" applyAlignment="1">
      <alignment/>
    </xf>
    <xf numFmtId="166" fontId="1" fillId="0" borderId="40" xfId="0" applyNumberFormat="1" applyFont="1" applyBorder="1" applyAlignment="1">
      <alignment/>
    </xf>
    <xf numFmtId="166" fontId="1" fillId="0" borderId="39" xfId="0" applyNumberFormat="1" applyFont="1" applyBorder="1" applyAlignment="1">
      <alignment/>
    </xf>
    <xf numFmtId="165" fontId="0" fillId="0" borderId="57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1" fillId="0" borderId="42" xfId="0" applyNumberFormat="1" applyFont="1" applyBorder="1" applyAlignment="1">
      <alignment/>
    </xf>
    <xf numFmtId="165" fontId="0" fillId="0" borderId="58" xfId="0" applyNumberFormat="1" applyBorder="1" applyAlignment="1">
      <alignment/>
    </xf>
    <xf numFmtId="169" fontId="0" fillId="0" borderId="46" xfId="0" applyNumberFormat="1" applyBorder="1" applyAlignment="1">
      <alignment/>
    </xf>
    <xf numFmtId="169" fontId="0" fillId="0" borderId="30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35" xfId="0" applyNumberFormat="1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3" fontId="0" fillId="0" borderId="62" xfId="0" applyNumberFormat="1" applyBorder="1" applyAlignment="1">
      <alignment/>
    </xf>
    <xf numFmtId="169" fontId="0" fillId="0" borderId="4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165" fontId="0" fillId="0" borderId="49" xfId="0" applyNumberFormat="1" applyBorder="1" applyAlignment="1">
      <alignment/>
    </xf>
    <xf numFmtId="165" fontId="0" fillId="0" borderId="51" xfId="0" applyNumberForma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44" xfId="0" applyNumberFormat="1" applyFont="1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8" xfId="0" applyBorder="1" applyAlignment="1">
      <alignment horizontal="center"/>
    </xf>
    <xf numFmtId="169" fontId="0" fillId="0" borderId="69" xfId="0" applyNumberFormat="1" applyBorder="1" applyAlignment="1">
      <alignment/>
    </xf>
    <xf numFmtId="165" fontId="0" fillId="0" borderId="69" xfId="0" applyNumberFormat="1" applyBorder="1" applyAlignment="1">
      <alignment/>
    </xf>
    <xf numFmtId="165" fontId="0" fillId="0" borderId="70" xfId="0" applyNumberFormat="1" applyBorder="1" applyAlignment="1">
      <alignment/>
    </xf>
    <xf numFmtId="165" fontId="0" fillId="0" borderId="71" xfId="0" applyNumberFormat="1" applyBorder="1" applyAlignment="1">
      <alignment/>
    </xf>
    <xf numFmtId="165" fontId="1" fillId="0" borderId="72" xfId="0" applyNumberFormat="1" applyFont="1" applyBorder="1" applyAlignment="1">
      <alignment horizontal="right"/>
    </xf>
    <xf numFmtId="165" fontId="1" fillId="0" borderId="73" xfId="0" applyNumberFormat="1" applyFont="1" applyBorder="1" applyAlignment="1">
      <alignment/>
    </xf>
    <xf numFmtId="165" fontId="1" fillId="0" borderId="74" xfId="0" applyNumberFormat="1" applyFont="1" applyBorder="1" applyAlignment="1">
      <alignment/>
    </xf>
    <xf numFmtId="165" fontId="1" fillId="0" borderId="70" xfId="0" applyNumberFormat="1" applyFont="1" applyBorder="1" applyAlignment="1">
      <alignment/>
    </xf>
    <xf numFmtId="165" fontId="1" fillId="0" borderId="71" xfId="0" applyNumberFormat="1" applyFont="1" applyBorder="1" applyAlignment="1">
      <alignment/>
    </xf>
    <xf numFmtId="165" fontId="1" fillId="0" borderId="75" xfId="0" applyNumberFormat="1" applyFont="1" applyBorder="1" applyAlignment="1">
      <alignment/>
    </xf>
    <xf numFmtId="165" fontId="1" fillId="0" borderId="76" xfId="0" applyNumberFormat="1" applyFont="1" applyBorder="1" applyAlignment="1">
      <alignment/>
    </xf>
    <xf numFmtId="0" fontId="6" fillId="0" borderId="21" xfId="0" applyFont="1" applyBorder="1" applyAlignment="1">
      <alignment horizontal="left"/>
    </xf>
    <xf numFmtId="165" fontId="1" fillId="0" borderId="77" xfId="0" applyNumberFormat="1" applyFont="1" applyBorder="1" applyAlignment="1">
      <alignment/>
    </xf>
    <xf numFmtId="165" fontId="1" fillId="0" borderId="78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79" xfId="0" applyNumberFormat="1" applyFont="1" applyBorder="1" applyAlignment="1">
      <alignment/>
    </xf>
    <xf numFmtId="165" fontId="1" fillId="0" borderId="8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29" xfId="0" applyNumberFormat="1" applyBorder="1" applyAlignment="1">
      <alignment/>
    </xf>
    <xf numFmtId="0" fontId="1" fillId="0" borderId="81" xfId="0" applyFont="1" applyBorder="1" applyAlignment="1">
      <alignment horizontal="left"/>
    </xf>
    <xf numFmtId="0" fontId="0" fillId="0" borderId="82" xfId="0" applyBorder="1" applyAlignment="1">
      <alignment/>
    </xf>
    <xf numFmtId="0" fontId="1" fillId="0" borderId="25" xfId="0" applyFont="1" applyBorder="1" applyAlignment="1">
      <alignment horizontal="left"/>
    </xf>
    <xf numFmtId="0" fontId="0" fillId="0" borderId="17" xfId="0" applyBorder="1" applyAlignment="1">
      <alignment horizontal="left"/>
    </xf>
    <xf numFmtId="165" fontId="0" fillId="0" borderId="83" xfId="0" applyNumberFormat="1" applyBorder="1" applyAlignment="1">
      <alignment/>
    </xf>
    <xf numFmtId="0" fontId="0" fillId="0" borderId="44" xfId="0" applyFont="1" applyBorder="1" applyAlignment="1">
      <alignment horizontal="center"/>
    </xf>
    <xf numFmtId="165" fontId="1" fillId="0" borderId="42" xfId="0" applyNumberFormat="1" applyFont="1" applyBorder="1" applyAlignment="1">
      <alignment/>
    </xf>
    <xf numFmtId="169" fontId="0" fillId="0" borderId="28" xfId="0" applyNumberFormat="1" applyBorder="1" applyAlignment="1">
      <alignment/>
    </xf>
    <xf numFmtId="169" fontId="0" fillId="0" borderId="30" xfId="0" applyNumberFormat="1" applyBorder="1" applyAlignment="1">
      <alignment/>
    </xf>
    <xf numFmtId="0" fontId="8" fillId="0" borderId="21" xfId="0" applyFont="1" applyBorder="1" applyAlignment="1">
      <alignment horizontal="center"/>
    </xf>
    <xf numFmtId="1" fontId="0" fillId="0" borderId="7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5" fontId="1" fillId="0" borderId="84" xfId="0" applyNumberFormat="1" applyFont="1" applyBorder="1" applyAlignment="1">
      <alignment horizontal="right"/>
    </xf>
    <xf numFmtId="3" fontId="0" fillId="0" borderId="67" xfId="0" applyNumberFormat="1" applyBorder="1" applyAlignment="1">
      <alignment/>
    </xf>
    <xf numFmtId="0" fontId="1" fillId="2" borderId="48" xfId="0" applyFont="1" applyFill="1" applyBorder="1" applyAlignment="1">
      <alignment horizontal="center"/>
    </xf>
    <xf numFmtId="165" fontId="0" fillId="0" borderId="47" xfId="0" applyNumberFormat="1" applyBorder="1" applyAlignment="1">
      <alignment/>
    </xf>
    <xf numFmtId="0" fontId="0" fillId="2" borderId="44" xfId="0" applyNumberForma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85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165" fontId="0" fillId="0" borderId="86" xfId="0" applyNumberFormat="1" applyBorder="1" applyAlignment="1">
      <alignment/>
    </xf>
    <xf numFmtId="165" fontId="0" fillId="0" borderId="62" xfId="0" applyNumberFormat="1" applyBorder="1" applyAlignment="1">
      <alignment/>
    </xf>
    <xf numFmtId="165" fontId="1" fillId="0" borderId="33" xfId="0" applyNumberFormat="1" applyFont="1" applyBorder="1" applyAlignment="1">
      <alignment/>
    </xf>
    <xf numFmtId="165" fontId="1" fillId="0" borderId="7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4" xfId="0" applyFont="1" applyBorder="1" applyAlignment="1">
      <alignment horizontal="right"/>
    </xf>
    <xf numFmtId="165" fontId="1" fillId="0" borderId="64" xfId="0" applyNumberFormat="1" applyFont="1" applyBorder="1" applyAlignment="1">
      <alignment/>
    </xf>
    <xf numFmtId="165" fontId="1" fillId="0" borderId="61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8" fillId="2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1" fillId="0" borderId="5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left"/>
    </xf>
    <xf numFmtId="166" fontId="1" fillId="0" borderId="10" xfId="0" applyNumberFormat="1" applyFont="1" applyBorder="1" applyAlignment="1">
      <alignment/>
    </xf>
    <xf numFmtId="0" fontId="10" fillId="0" borderId="5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169" fontId="0" fillId="0" borderId="71" xfId="0" applyNumberFormat="1" applyBorder="1" applyAlignment="1">
      <alignment/>
    </xf>
    <xf numFmtId="3" fontId="0" fillId="0" borderId="71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165" fontId="0" fillId="0" borderId="29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169" fontId="0" fillId="0" borderId="70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42" xfId="0" applyNumberFormat="1" applyFont="1" applyFill="1" applyBorder="1" applyAlignment="1">
      <alignment/>
    </xf>
    <xf numFmtId="166" fontId="1" fillId="2" borderId="39" xfId="0" applyNumberFormat="1" applyFont="1" applyFill="1" applyBorder="1" applyAlignment="1">
      <alignment/>
    </xf>
    <xf numFmtId="166" fontId="1" fillId="2" borderId="40" xfId="0" applyNumberFormat="1" applyFont="1" applyFill="1" applyBorder="1" applyAlignment="1">
      <alignment/>
    </xf>
    <xf numFmtId="166" fontId="1" fillId="2" borderId="56" xfId="0" applyNumberFormat="1" applyFont="1" applyFill="1" applyBorder="1" applyAlignment="1">
      <alignment/>
    </xf>
    <xf numFmtId="166" fontId="1" fillId="2" borderId="1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9" fontId="0" fillId="0" borderId="13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44" xfId="0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12" fillId="0" borderId="44" xfId="0" applyNumberFormat="1" applyFont="1" applyBorder="1" applyAlignment="1">
      <alignment horizontal="center"/>
    </xf>
    <xf numFmtId="165" fontId="0" fillId="0" borderId="61" xfId="0" applyNumberFormat="1" applyFont="1" applyBorder="1" applyAlignment="1">
      <alignment horizontal="right"/>
    </xf>
    <xf numFmtId="3" fontId="0" fillId="0" borderId="61" xfId="0" applyNumberFormat="1" applyFont="1" applyBorder="1" applyAlignment="1">
      <alignment/>
    </xf>
    <xf numFmtId="169" fontId="1" fillId="0" borderId="39" xfId="0" applyNumberFormat="1" applyFont="1" applyBorder="1" applyAlignment="1">
      <alignment/>
    </xf>
    <xf numFmtId="169" fontId="0" fillId="0" borderId="61" xfId="0" applyNumberFormat="1" applyBorder="1" applyAlignment="1">
      <alignment/>
    </xf>
    <xf numFmtId="169" fontId="1" fillId="0" borderId="64" xfId="0" applyNumberFormat="1" applyFont="1" applyBorder="1" applyAlignment="1">
      <alignment/>
    </xf>
    <xf numFmtId="169" fontId="1" fillId="0" borderId="61" xfId="0" applyNumberFormat="1" applyFont="1" applyBorder="1" applyAlignment="1">
      <alignment/>
    </xf>
    <xf numFmtId="169" fontId="0" fillId="0" borderId="59" xfId="0" applyNumberFormat="1" applyBorder="1" applyAlignment="1">
      <alignment/>
    </xf>
    <xf numFmtId="169" fontId="9" fillId="0" borderId="47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165" fontId="9" fillId="0" borderId="44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0" fontId="10" fillId="0" borderId="4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68" xfId="0" applyFont="1" applyFill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3" fontId="0" fillId="0" borderId="88" xfId="0" applyNumberFormat="1" applyFont="1" applyBorder="1" applyAlignment="1">
      <alignment/>
    </xf>
    <xf numFmtId="165" fontId="0" fillId="0" borderId="88" xfId="0" applyNumberFormat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71" xfId="0" applyNumberFormat="1" applyFont="1" applyBorder="1" applyAlignment="1">
      <alignment horizontal="right"/>
    </xf>
    <xf numFmtId="165" fontId="0" fillId="0" borderId="86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165" fontId="1" fillId="0" borderId="84" xfId="0" applyNumberFormat="1" applyFont="1" applyBorder="1" applyAlignment="1">
      <alignment/>
    </xf>
    <xf numFmtId="169" fontId="0" fillId="0" borderId="88" xfId="0" applyNumberFormat="1" applyBorder="1" applyAlignment="1">
      <alignment/>
    </xf>
    <xf numFmtId="165" fontId="1" fillId="0" borderId="63" xfId="0" applyNumberFormat="1" applyFont="1" applyBorder="1" applyAlignment="1">
      <alignment/>
    </xf>
    <xf numFmtId="165" fontId="1" fillId="0" borderId="88" xfId="0" applyNumberFormat="1" applyFont="1" applyBorder="1" applyAlignment="1">
      <alignment/>
    </xf>
    <xf numFmtId="165" fontId="1" fillId="0" borderId="83" xfId="0" applyNumberFormat="1" applyFont="1" applyBorder="1" applyAlignment="1">
      <alignment/>
    </xf>
    <xf numFmtId="165" fontId="1" fillId="0" borderId="89" xfId="0" applyNumberFormat="1" applyFont="1" applyBorder="1" applyAlignment="1">
      <alignment/>
    </xf>
    <xf numFmtId="165" fontId="1" fillId="0" borderId="56" xfId="0" applyNumberFormat="1" applyFont="1" applyBorder="1" applyAlignment="1">
      <alignment/>
    </xf>
    <xf numFmtId="165" fontId="0" fillId="0" borderId="90" xfId="0" applyNumberFormat="1" applyBorder="1" applyAlignment="1">
      <alignment/>
    </xf>
    <xf numFmtId="165" fontId="0" fillId="0" borderId="25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5" fontId="0" fillId="0" borderId="69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165" fontId="1" fillId="0" borderId="53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9" fontId="1" fillId="0" borderId="29" xfId="0" applyNumberFormat="1" applyFont="1" applyBorder="1" applyAlignment="1">
      <alignment/>
    </xf>
    <xf numFmtId="165" fontId="1" fillId="0" borderId="69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5" fontId="1" fillId="0" borderId="91" xfId="0" applyNumberFormat="1" applyFont="1" applyBorder="1" applyAlignment="1">
      <alignment/>
    </xf>
    <xf numFmtId="169" fontId="1" fillId="0" borderId="91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68" xfId="0" applyNumberFormat="1" applyFont="1" applyBorder="1" applyAlignment="1">
      <alignment/>
    </xf>
    <xf numFmtId="166" fontId="1" fillId="2" borderId="14" xfId="0" applyNumberFormat="1" applyFont="1" applyFill="1" applyBorder="1" applyAlignment="1">
      <alignment/>
    </xf>
    <xf numFmtId="166" fontId="1" fillId="2" borderId="12" xfId="0" applyNumberFormat="1" applyFont="1" applyFill="1" applyBorder="1" applyAlignment="1">
      <alignment/>
    </xf>
    <xf numFmtId="166" fontId="1" fillId="2" borderId="68" xfId="0" applyNumberFormat="1" applyFont="1" applyFill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68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9" xfId="0" applyNumberFormat="1" applyBorder="1" applyAlignment="1">
      <alignment/>
    </xf>
    <xf numFmtId="169" fontId="0" fillId="0" borderId="92" xfId="0" applyNumberFormat="1" applyBorder="1" applyAlignment="1">
      <alignment/>
    </xf>
    <xf numFmtId="169" fontId="0" fillId="0" borderId="35" xfId="0" applyNumberFormat="1" applyBorder="1" applyAlignment="1">
      <alignment/>
    </xf>
    <xf numFmtId="169" fontId="0" fillId="0" borderId="87" xfId="0" applyNumberFormat="1" applyBorder="1" applyAlignment="1">
      <alignment/>
    </xf>
    <xf numFmtId="165" fontId="0" fillId="0" borderId="93" xfId="0" applyNumberFormat="1" applyBorder="1" applyAlignment="1">
      <alignment/>
    </xf>
    <xf numFmtId="165" fontId="0" fillId="0" borderId="94" xfId="0" applyNumberFormat="1" applyBorder="1" applyAlignment="1">
      <alignment/>
    </xf>
    <xf numFmtId="165" fontId="9" fillId="0" borderId="7" xfId="0" applyNumberFormat="1" applyFont="1" applyBorder="1" applyAlignment="1">
      <alignment/>
    </xf>
    <xf numFmtId="165" fontId="9" fillId="0" borderId="47" xfId="0" applyNumberFormat="1" applyFont="1" applyBorder="1" applyAlignment="1">
      <alignment/>
    </xf>
    <xf numFmtId="165" fontId="9" fillId="0" borderId="70" xfId="0" applyNumberFormat="1" applyFont="1" applyBorder="1" applyAlignment="1">
      <alignment/>
    </xf>
    <xf numFmtId="165" fontId="9" fillId="0" borderId="6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5" fontId="9" fillId="0" borderId="45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65" fontId="0" fillId="0" borderId="86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3" fontId="1" fillId="0" borderId="95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169" fontId="0" fillId="0" borderId="86" xfId="0" applyNumberFormat="1" applyFont="1" applyBorder="1" applyAlignment="1">
      <alignment/>
    </xf>
    <xf numFmtId="169" fontId="0" fillId="0" borderId="95" xfId="0" applyNumberFormat="1" applyFont="1" applyFill="1" applyBorder="1" applyAlignment="1">
      <alignment/>
    </xf>
    <xf numFmtId="169" fontId="0" fillId="0" borderId="95" xfId="0" applyNumberFormat="1" applyFont="1" applyBorder="1" applyAlignment="1">
      <alignment/>
    </xf>
    <xf numFmtId="169" fontId="0" fillId="0" borderId="86" xfId="0" applyNumberFormat="1" applyBorder="1" applyAlignment="1">
      <alignment/>
    </xf>
    <xf numFmtId="0" fontId="0" fillId="0" borderId="95" xfId="0" applyFont="1" applyBorder="1" applyAlignment="1">
      <alignment horizontal="left"/>
    </xf>
    <xf numFmtId="169" fontId="1" fillId="0" borderId="72" xfId="0" applyNumberFormat="1" applyFont="1" applyBorder="1" applyAlignment="1">
      <alignment/>
    </xf>
    <xf numFmtId="169" fontId="0" fillId="0" borderId="62" xfId="0" applyNumberFormat="1" applyBorder="1" applyAlignment="1">
      <alignment/>
    </xf>
    <xf numFmtId="169" fontId="1" fillId="0" borderId="96" xfId="0" applyNumberFormat="1" applyFont="1" applyBorder="1" applyAlignment="1">
      <alignment/>
    </xf>
    <xf numFmtId="169" fontId="1" fillId="0" borderId="86" xfId="0" applyNumberFormat="1" applyFont="1" applyBorder="1" applyAlignment="1">
      <alignment/>
    </xf>
    <xf numFmtId="169" fontId="1" fillId="0" borderId="62" xfId="0" applyNumberFormat="1" applyFont="1" applyBorder="1" applyAlignment="1">
      <alignment/>
    </xf>
    <xf numFmtId="164" fontId="1" fillId="0" borderId="62" xfId="0" applyNumberFormat="1" applyFont="1" applyBorder="1" applyAlignment="1">
      <alignment/>
    </xf>
    <xf numFmtId="169" fontId="1" fillId="0" borderId="97" xfId="0" applyNumberFormat="1" applyFont="1" applyBorder="1" applyAlignment="1">
      <alignment/>
    </xf>
    <xf numFmtId="165" fontId="1" fillId="0" borderId="98" xfId="0" applyNumberFormat="1" applyFont="1" applyBorder="1" applyAlignment="1">
      <alignment/>
    </xf>
    <xf numFmtId="166" fontId="1" fillId="2" borderId="98" xfId="0" applyNumberFormat="1" applyFont="1" applyFill="1" applyBorder="1" applyAlignment="1">
      <alignment/>
    </xf>
    <xf numFmtId="166" fontId="1" fillId="0" borderId="98" xfId="0" applyNumberFormat="1" applyFont="1" applyBorder="1" applyAlignment="1">
      <alignment/>
    </xf>
    <xf numFmtId="166" fontId="1" fillId="0" borderId="95" xfId="0" applyNumberFormat="1" applyFont="1" applyBorder="1" applyAlignment="1">
      <alignment/>
    </xf>
    <xf numFmtId="3" fontId="0" fillId="0" borderId="95" xfId="0" applyNumberFormat="1" applyBorder="1" applyAlignment="1">
      <alignment/>
    </xf>
    <xf numFmtId="169" fontId="0" fillId="0" borderId="99" xfId="0" applyNumberFormat="1" applyBorder="1" applyAlignment="1">
      <alignment/>
    </xf>
    <xf numFmtId="169" fontId="0" fillId="0" borderId="27" xfId="0" applyNumberFormat="1" applyBorder="1" applyAlignment="1">
      <alignment/>
    </xf>
    <xf numFmtId="165" fontId="0" fillId="0" borderId="100" xfId="0" applyNumberFormat="1" applyBorder="1" applyAlignment="1">
      <alignment/>
    </xf>
    <xf numFmtId="169" fontId="0" fillId="0" borderId="47" xfId="0" applyNumberFormat="1" applyFont="1" applyBorder="1" applyAlignment="1">
      <alignment/>
    </xf>
    <xf numFmtId="169" fontId="0" fillId="0" borderId="13" xfId="0" applyNumberFormat="1" applyFont="1" applyFill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169" fontId="1" fillId="0" borderId="42" xfId="0" applyNumberFormat="1" applyFont="1" applyBorder="1" applyAlignment="1">
      <alignment/>
    </xf>
    <xf numFmtId="169" fontId="0" fillId="0" borderId="47" xfId="0" applyNumberFormat="1" applyBorder="1" applyAlignment="1">
      <alignment/>
    </xf>
    <xf numFmtId="169" fontId="1" fillId="0" borderId="51" xfId="0" applyNumberFormat="1" applyFont="1" applyBorder="1" applyAlignment="1">
      <alignment/>
    </xf>
    <xf numFmtId="169" fontId="1" fillId="0" borderId="47" xfId="0" applyNumberFormat="1" applyFont="1" applyBorder="1" applyAlignment="1">
      <alignment/>
    </xf>
    <xf numFmtId="169" fontId="1" fillId="0" borderId="28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9" fontId="1" fillId="0" borderId="7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9" fontId="0" fillId="0" borderId="43" xfId="0" applyNumberFormat="1" applyBorder="1" applyAlignment="1">
      <alignment/>
    </xf>
    <xf numFmtId="169" fontId="0" fillId="0" borderId="34" xfId="0" applyNumberFormat="1" applyBorder="1" applyAlignment="1">
      <alignment/>
    </xf>
    <xf numFmtId="0" fontId="10" fillId="0" borderId="8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" fontId="1" fillId="0" borderId="5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166" fontId="1" fillId="2" borderId="38" xfId="0" applyNumberFormat="1" applyFont="1" applyFill="1" applyBorder="1" applyAlignment="1">
      <alignment/>
    </xf>
    <xf numFmtId="166" fontId="1" fillId="0" borderId="38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3" fontId="10" fillId="0" borderId="101" xfId="0" applyNumberFormat="1" applyFont="1" applyFill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0" fontId="0" fillId="0" borderId="47" xfId="0" applyFont="1" applyBorder="1" applyAlignment="1">
      <alignment horizontal="left"/>
    </xf>
    <xf numFmtId="169" fontId="0" fillId="0" borderId="61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9" xfId="0" applyNumberFormat="1" applyFont="1" applyBorder="1" applyAlignment="1">
      <alignment horizontal="left"/>
    </xf>
    <xf numFmtId="0" fontId="10" fillId="0" borderId="102" xfId="0" applyFont="1" applyFill="1" applyBorder="1" applyAlignment="1">
      <alignment horizontal="center"/>
    </xf>
    <xf numFmtId="0" fontId="10" fillId="0" borderId="95" xfId="0" applyFont="1" applyFill="1" applyBorder="1" applyAlignment="1">
      <alignment horizontal="center"/>
    </xf>
    <xf numFmtId="0" fontId="10" fillId="0" borderId="98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9" fontId="0" fillId="0" borderId="46" xfId="0" applyNumberFormat="1" applyFont="1" applyBorder="1" applyAlignment="1">
      <alignment/>
    </xf>
    <xf numFmtId="165" fontId="0" fillId="0" borderId="46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9" fontId="1" fillId="0" borderId="38" xfId="0" applyNumberFormat="1" applyFont="1" applyBorder="1" applyAlignment="1">
      <alignment/>
    </xf>
    <xf numFmtId="169" fontId="1" fillId="0" borderId="50" xfId="0" applyNumberFormat="1" applyFont="1" applyBorder="1" applyAlignment="1">
      <alignment/>
    </xf>
    <xf numFmtId="169" fontId="1" fillId="0" borderId="46" xfId="0" applyNumberFormat="1" applyFont="1" applyBorder="1" applyAlignment="1">
      <alignment/>
    </xf>
    <xf numFmtId="169" fontId="1" fillId="0" borderId="30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9" fontId="1" fillId="0" borderId="7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9" fontId="0" fillId="0" borderId="71" xfId="0" applyNumberFormat="1" applyFont="1" applyBorder="1" applyAlignment="1">
      <alignment/>
    </xf>
    <xf numFmtId="0" fontId="0" fillId="0" borderId="67" xfId="0" applyFont="1" applyBorder="1" applyAlignment="1">
      <alignment horizontal="left"/>
    </xf>
    <xf numFmtId="169" fontId="1" fillId="0" borderId="53" xfId="0" applyNumberFormat="1" applyFont="1" applyBorder="1" applyAlignment="1">
      <alignment/>
    </xf>
    <xf numFmtId="169" fontId="1" fillId="0" borderId="74" xfId="0" applyNumberFormat="1" applyFont="1" applyBorder="1" applyAlignment="1">
      <alignment/>
    </xf>
    <xf numFmtId="169" fontId="1" fillId="0" borderId="71" xfId="0" applyNumberFormat="1" applyFont="1" applyBorder="1" applyAlignment="1">
      <alignment/>
    </xf>
    <xf numFmtId="169" fontId="1" fillId="0" borderId="69" xfId="0" applyNumberFormat="1" applyFont="1" applyBorder="1" applyAlignment="1">
      <alignment/>
    </xf>
    <xf numFmtId="164" fontId="1" fillId="0" borderId="69" xfId="0" applyNumberFormat="1" applyFont="1" applyBorder="1" applyAlignment="1">
      <alignment/>
    </xf>
    <xf numFmtId="169" fontId="1" fillId="0" borderId="76" xfId="0" applyNumberFormat="1" applyFont="1" applyBorder="1" applyAlignment="1">
      <alignment/>
    </xf>
    <xf numFmtId="165" fontId="0" fillId="0" borderId="95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5" fontId="0" fillId="0" borderId="86" xfId="0" applyNumberFormat="1" applyFont="1" applyBorder="1" applyAlignment="1">
      <alignment/>
    </xf>
    <xf numFmtId="165" fontId="0" fillId="0" borderId="95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 horizontal="left"/>
    </xf>
    <xf numFmtId="165" fontId="0" fillId="0" borderId="95" xfId="0" applyNumberFormat="1" applyFont="1" applyBorder="1" applyAlignment="1">
      <alignment horizontal="left"/>
    </xf>
    <xf numFmtId="2" fontId="0" fillId="0" borderId="46" xfId="0" applyNumberFormat="1" applyFont="1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61" xfId="0" applyNumberFormat="1" applyFont="1" applyFill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61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center"/>
    </xf>
    <xf numFmtId="0" fontId="0" fillId="0" borderId="103" xfId="0" applyBorder="1" applyAlignment="1">
      <alignment/>
    </xf>
    <xf numFmtId="165" fontId="0" fillId="0" borderId="104" xfId="0" applyNumberFormat="1" applyBorder="1" applyAlignment="1">
      <alignment/>
    </xf>
    <xf numFmtId="165" fontId="0" fillId="0" borderId="105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166" fontId="1" fillId="0" borderId="72" xfId="0" applyNumberFormat="1" applyFont="1" applyBorder="1" applyAlignment="1">
      <alignment/>
    </xf>
    <xf numFmtId="169" fontId="0" fillId="0" borderId="61" xfId="0" applyNumberFormat="1" applyBorder="1" applyAlignment="1">
      <alignment/>
    </xf>
    <xf numFmtId="0" fontId="10" fillId="0" borderId="85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166" fontId="1" fillId="2" borderId="3" xfId="0" applyNumberFormat="1" applyFont="1" applyFill="1" applyBorder="1" applyAlignment="1">
      <alignment/>
    </xf>
    <xf numFmtId="0" fontId="11" fillId="0" borderId="68" xfId="0" applyFont="1" applyFill="1" applyBorder="1" applyAlignment="1">
      <alignment/>
    </xf>
    <xf numFmtId="169" fontId="0" fillId="0" borderId="71" xfId="0" applyNumberFormat="1" applyFont="1" applyBorder="1" applyAlignment="1">
      <alignment/>
    </xf>
    <xf numFmtId="169" fontId="0" fillId="0" borderId="67" xfId="0" applyNumberFormat="1" applyFont="1" applyFill="1" applyBorder="1" applyAlignment="1">
      <alignment/>
    </xf>
    <xf numFmtId="0" fontId="0" fillId="0" borderId="67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98" xfId="0" applyFont="1" applyFill="1" applyBorder="1" applyAlignment="1">
      <alignment horizontal="center"/>
    </xf>
    <xf numFmtId="165" fontId="0" fillId="0" borderId="86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165" fontId="1" fillId="0" borderId="96" xfId="0" applyNumberFormat="1" applyFont="1" applyBorder="1" applyAlignment="1">
      <alignment/>
    </xf>
    <xf numFmtId="165" fontId="1" fillId="0" borderId="86" xfId="0" applyNumberFormat="1" applyFont="1" applyBorder="1" applyAlignment="1">
      <alignment/>
    </xf>
    <xf numFmtId="165" fontId="1" fillId="0" borderId="62" xfId="0" applyNumberFormat="1" applyFont="1" applyBorder="1" applyAlignment="1">
      <alignment/>
    </xf>
    <xf numFmtId="165" fontId="1" fillId="0" borderId="97" xfId="0" applyNumberFormat="1" applyFont="1" applyBorder="1" applyAlignment="1">
      <alignment/>
    </xf>
    <xf numFmtId="3" fontId="1" fillId="2" borderId="98" xfId="0" applyNumberFormat="1" applyFont="1" applyFill="1" applyBorder="1" applyAlignment="1">
      <alignment/>
    </xf>
    <xf numFmtId="0" fontId="10" fillId="0" borderId="106" xfId="0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169" fontId="0" fillId="0" borderId="45" xfId="0" applyNumberFormat="1" applyBorder="1" applyAlignment="1">
      <alignment/>
    </xf>
    <xf numFmtId="169" fontId="1" fillId="0" borderId="49" xfId="0" applyNumberFormat="1" applyFont="1" applyBorder="1" applyAlignment="1">
      <alignment/>
    </xf>
    <xf numFmtId="169" fontId="1" fillId="0" borderId="45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166" fontId="1" fillId="2" borderId="72" xfId="0" applyNumberFormat="1" applyFont="1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0" fillId="0" borderId="107" xfId="0" applyNumberFormat="1" applyBorder="1" applyAlignment="1">
      <alignment/>
    </xf>
    <xf numFmtId="166" fontId="1" fillId="0" borderId="107" xfId="0" applyNumberFormat="1" applyFont="1" applyBorder="1" applyAlignment="1">
      <alignment/>
    </xf>
    <xf numFmtId="166" fontId="1" fillId="0" borderId="107" xfId="0" applyNumberFormat="1" applyFont="1" applyBorder="1" applyAlignment="1">
      <alignment/>
    </xf>
    <xf numFmtId="3" fontId="0" fillId="0" borderId="107" xfId="0" applyNumberFormat="1" applyBorder="1" applyAlignment="1">
      <alignment/>
    </xf>
    <xf numFmtId="166" fontId="0" fillId="0" borderId="108" xfId="0" applyNumberFormat="1" applyBorder="1" applyAlignment="1">
      <alignment/>
    </xf>
    <xf numFmtId="3" fontId="0" fillId="0" borderId="108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165" fontId="0" fillId="0" borderId="33" xfId="0" applyNumberFormat="1" applyBorder="1" applyAlignment="1">
      <alignment/>
    </xf>
    <xf numFmtId="0" fontId="0" fillId="0" borderId="46" xfId="0" applyFont="1" applyBorder="1" applyAlignment="1">
      <alignment horizontal="left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1" fillId="0" borderId="5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0" fillId="0" borderId="52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2" fontId="0" fillId="3" borderId="109" xfId="0" applyNumberFormat="1" applyFont="1" applyFill="1" applyBorder="1" applyAlignment="1">
      <alignment horizontal="left"/>
    </xf>
    <xf numFmtId="0" fontId="0" fillId="3" borderId="16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6" fontId="1" fillId="3" borderId="107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3" fontId="1" fillId="0" borderId="101" xfId="0" applyNumberFormat="1" applyFont="1" applyBorder="1" applyAlignment="1">
      <alignment/>
    </xf>
    <xf numFmtId="0" fontId="10" fillId="0" borderId="102" xfId="0" applyFont="1" applyFill="1" applyBorder="1" applyAlignment="1">
      <alignment/>
    </xf>
    <xf numFmtId="0" fontId="10" fillId="0" borderId="95" xfId="0" applyFont="1" applyFill="1" applyBorder="1" applyAlignment="1">
      <alignment/>
    </xf>
    <xf numFmtId="169" fontId="0" fillId="0" borderId="62" xfId="0" applyNumberFormat="1" applyFont="1" applyBorder="1" applyAlignment="1">
      <alignment/>
    </xf>
    <xf numFmtId="0" fontId="10" fillId="0" borderId="98" xfId="0" applyFont="1" applyFill="1" applyBorder="1" applyAlignment="1">
      <alignment/>
    </xf>
    <xf numFmtId="0" fontId="0" fillId="0" borderId="85" xfId="0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0" fontId="9" fillId="0" borderId="44" xfId="0" applyFont="1" applyFill="1" applyBorder="1" applyAlignment="1">
      <alignment horizontal="center"/>
    </xf>
    <xf numFmtId="0" fontId="1" fillId="0" borderId="25" xfId="0" applyFont="1" applyBorder="1" applyAlignment="1">
      <alignment horizontal="centerContinuous"/>
    </xf>
    <xf numFmtId="0" fontId="10" fillId="0" borderId="3" xfId="0" applyFont="1" applyFill="1" applyBorder="1" applyAlignment="1">
      <alignment/>
    </xf>
    <xf numFmtId="0" fontId="0" fillId="0" borderId="110" xfId="0" applyBorder="1" applyAlignment="1">
      <alignment/>
    </xf>
    <xf numFmtId="0" fontId="10" fillId="0" borderId="40" xfId="0" applyFont="1" applyFill="1" applyBorder="1" applyAlignment="1">
      <alignment horizontal="center"/>
    </xf>
    <xf numFmtId="165" fontId="0" fillId="0" borderId="45" xfId="0" applyNumberFormat="1" applyFont="1" applyBorder="1" applyAlignment="1">
      <alignment/>
    </xf>
    <xf numFmtId="165" fontId="0" fillId="0" borderId="52" xfId="0" applyNumberFormat="1" applyFont="1" applyBorder="1" applyAlignment="1">
      <alignment horizontal="right"/>
    </xf>
    <xf numFmtId="0" fontId="1" fillId="0" borderId="82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165" fontId="0" fillId="0" borderId="61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0" fontId="0" fillId="0" borderId="5" xfId="0" applyBorder="1" applyAlignment="1">
      <alignment/>
    </xf>
    <xf numFmtId="169" fontId="0" fillId="0" borderId="86" xfId="0" applyNumberFormat="1" applyFont="1" applyBorder="1" applyAlignment="1">
      <alignment/>
    </xf>
    <xf numFmtId="169" fontId="0" fillId="0" borderId="62" xfId="0" applyNumberFormat="1" applyFont="1" applyBorder="1" applyAlignment="1">
      <alignment/>
    </xf>
    <xf numFmtId="169" fontId="0" fillId="0" borderId="95" xfId="0" applyNumberFormat="1" applyFont="1" applyFill="1" applyBorder="1" applyAlignment="1">
      <alignment/>
    </xf>
    <xf numFmtId="3" fontId="0" fillId="0" borderId="62" xfId="0" applyNumberFormat="1" applyFont="1" applyBorder="1" applyAlignment="1">
      <alignment/>
    </xf>
    <xf numFmtId="169" fontId="0" fillId="0" borderId="95" xfId="0" applyNumberFormat="1" applyFont="1" applyBorder="1" applyAlignment="1">
      <alignment horizontal="left"/>
    </xf>
    <xf numFmtId="0" fontId="1" fillId="0" borderId="54" xfId="0" applyFont="1" applyBorder="1" applyAlignment="1">
      <alignment horizontal="centerContinuous"/>
    </xf>
    <xf numFmtId="165" fontId="0" fillId="0" borderId="13" xfId="0" applyNumberFormat="1" applyFont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 horizontal="left"/>
    </xf>
    <xf numFmtId="3" fontId="1" fillId="0" borderId="84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0" fillId="0" borderId="82" xfId="0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109" xfId="0" applyFont="1" applyBorder="1" applyAlignment="1">
      <alignment horizontal="left"/>
    </xf>
    <xf numFmtId="0" fontId="0" fillId="0" borderId="18" xfId="0" applyBorder="1" applyAlignment="1">
      <alignment/>
    </xf>
    <xf numFmtId="3" fontId="1" fillId="0" borderId="37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/>
    </xf>
    <xf numFmtId="3" fontId="1" fillId="0" borderId="8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/>
    </xf>
    <xf numFmtId="3" fontId="1" fillId="0" borderId="110" xfId="0" applyNumberFormat="1" applyFont="1" applyBorder="1" applyAlignment="1">
      <alignment/>
    </xf>
    <xf numFmtId="0" fontId="10" fillId="0" borderId="68" xfId="0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65" xfId="0" applyFont="1" applyBorder="1" applyAlignment="1">
      <alignment horizontal="centerContinuous"/>
    </xf>
    <xf numFmtId="0" fontId="1" fillId="0" borderId="85" xfId="0" applyFont="1" applyBorder="1" applyAlignment="1">
      <alignment/>
    </xf>
    <xf numFmtId="0" fontId="0" fillId="0" borderId="10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41" xfId="0" applyFont="1" applyBorder="1" applyAlignment="1">
      <alignment horizontal="centerContinuous"/>
    </xf>
    <xf numFmtId="165" fontId="0" fillId="0" borderId="1" xfId="0" applyNumberFormat="1" applyFont="1" applyBorder="1" applyAlignment="1">
      <alignment/>
    </xf>
    <xf numFmtId="165" fontId="0" fillId="0" borderId="59" xfId="0" applyNumberFormat="1" applyBorder="1" applyAlignment="1">
      <alignment/>
    </xf>
    <xf numFmtId="3" fontId="9" fillId="0" borderId="88" xfId="0" applyNumberFormat="1" applyFont="1" applyBorder="1" applyAlignment="1">
      <alignment/>
    </xf>
    <xf numFmtId="169" fontId="9" fillId="0" borderId="61" xfId="0" applyNumberFormat="1" applyFont="1" applyBorder="1" applyAlignment="1">
      <alignment/>
    </xf>
    <xf numFmtId="165" fontId="9" fillId="0" borderId="61" xfId="0" applyNumberFormat="1" applyFont="1" applyBorder="1" applyAlignment="1">
      <alignment/>
    </xf>
    <xf numFmtId="165" fontId="9" fillId="0" borderId="61" xfId="0" applyNumberFormat="1" applyFont="1" applyBorder="1" applyAlignment="1">
      <alignment/>
    </xf>
    <xf numFmtId="169" fontId="9" fillId="0" borderId="61" xfId="0" applyNumberFormat="1" applyFont="1" applyBorder="1" applyAlignment="1">
      <alignment/>
    </xf>
    <xf numFmtId="165" fontId="0" fillId="0" borderId="52" xfId="0" applyNumberFormat="1" applyBorder="1" applyAlignment="1">
      <alignment/>
    </xf>
    <xf numFmtId="165" fontId="0" fillId="0" borderId="46" xfId="0" applyNumberFormat="1" applyFont="1" applyBorder="1" applyAlignment="1">
      <alignment/>
    </xf>
    <xf numFmtId="2" fontId="0" fillId="0" borderId="61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6" fontId="1" fillId="2" borderId="8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165" fontId="0" fillId="3" borderId="16" xfId="0" applyNumberFormat="1" applyFont="1" applyFill="1" applyBorder="1" applyAlignment="1">
      <alignment/>
    </xf>
    <xf numFmtId="165" fontId="0" fillId="4" borderId="109" xfId="0" applyNumberFormat="1" applyFont="1" applyFill="1" applyBorder="1" applyAlignment="1">
      <alignment horizontal="centerContinuous"/>
    </xf>
    <xf numFmtId="165" fontId="0" fillId="4" borderId="26" xfId="0" applyNumberFormat="1" applyFont="1" applyFill="1" applyBorder="1" applyAlignment="1">
      <alignment horizontal="centerContinuous"/>
    </xf>
    <xf numFmtId="0" fontId="0" fillId="4" borderId="9" xfId="0" applyFont="1" applyFill="1" applyBorder="1" applyAlignment="1">
      <alignment horizontal="center"/>
    </xf>
    <xf numFmtId="0" fontId="0" fillId="4" borderId="67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1" fillId="0" borderId="102" xfId="0" applyFont="1" applyFill="1" applyBorder="1" applyAlignment="1">
      <alignment/>
    </xf>
    <xf numFmtId="0" fontId="11" fillId="0" borderId="95" xfId="0" applyFont="1" applyFill="1" applyBorder="1" applyAlignment="1">
      <alignment/>
    </xf>
    <xf numFmtId="3" fontId="10" fillId="0" borderId="111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6" fontId="1" fillId="2" borderId="55" xfId="0" applyNumberFormat="1" applyFont="1" applyFill="1" applyBorder="1" applyAlignment="1">
      <alignment/>
    </xf>
    <xf numFmtId="166" fontId="1" fillId="0" borderId="55" xfId="0" applyNumberFormat="1" applyFont="1" applyBorder="1" applyAlignment="1">
      <alignment/>
    </xf>
    <xf numFmtId="3" fontId="10" fillId="0" borderId="72" xfId="0" applyNumberFormat="1" applyFont="1" applyFill="1" applyBorder="1" applyAlignment="1">
      <alignment/>
    </xf>
    <xf numFmtId="165" fontId="0" fillId="0" borderId="70" xfId="0" applyNumberFormat="1" applyFont="1" applyBorder="1" applyAlignment="1">
      <alignment/>
    </xf>
    <xf numFmtId="0" fontId="0" fillId="0" borderId="5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112" xfId="0" applyNumberFormat="1" applyBorder="1" applyAlignment="1">
      <alignment/>
    </xf>
    <xf numFmtId="0" fontId="11" fillId="4" borderId="41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0" fillId="4" borderId="40" xfId="0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/>
    </xf>
    <xf numFmtId="3" fontId="0" fillId="0" borderId="87" xfId="0" applyNumberFormat="1" applyFont="1" applyBorder="1" applyAlignment="1">
      <alignment/>
    </xf>
    <xf numFmtId="164" fontId="0" fillId="0" borderId="85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3" fontId="0" fillId="0" borderId="87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85" xfId="0" applyFont="1" applyBorder="1" applyAlignment="1">
      <alignment horizontal="center"/>
    </xf>
    <xf numFmtId="169" fontId="0" fillId="0" borderId="46" xfId="0" applyNumberFormat="1" applyFont="1" applyBorder="1" applyAlignment="1">
      <alignment/>
    </xf>
    <xf numFmtId="3" fontId="0" fillId="0" borderId="46" xfId="0" applyNumberFormat="1" applyFont="1" applyFill="1" applyBorder="1" applyAlignment="1">
      <alignment/>
    </xf>
    <xf numFmtId="169" fontId="0" fillId="0" borderId="46" xfId="0" applyNumberFormat="1" applyBorder="1" applyAlignment="1">
      <alignment/>
    </xf>
    <xf numFmtId="166" fontId="1" fillId="0" borderId="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29" xfId="0" applyNumberFormat="1" applyBorder="1" applyAlignment="1">
      <alignment/>
    </xf>
    <xf numFmtId="169" fontId="0" fillId="0" borderId="69" xfId="0" applyNumberFormat="1" applyBorder="1" applyAlignment="1">
      <alignment/>
    </xf>
    <xf numFmtId="166" fontId="1" fillId="2" borderId="53" xfId="0" applyNumberFormat="1" applyFont="1" applyFill="1" applyBorder="1" applyAlignment="1">
      <alignment/>
    </xf>
    <xf numFmtId="3" fontId="1" fillId="0" borderId="68" xfId="0" applyNumberFormat="1" applyFont="1" applyBorder="1" applyAlignment="1">
      <alignment/>
    </xf>
    <xf numFmtId="0" fontId="10" fillId="0" borderId="3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9" fontId="0" fillId="0" borderId="47" xfId="0" applyNumberFormat="1" applyFont="1" applyBorder="1" applyAlignment="1">
      <alignment/>
    </xf>
    <xf numFmtId="169" fontId="0" fillId="0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1" fillId="4" borderId="14" xfId="0" applyFont="1" applyFill="1" applyBorder="1" applyAlignment="1">
      <alignment/>
    </xf>
    <xf numFmtId="3" fontId="10" fillId="0" borderId="114" xfId="0" applyNumberFormat="1" applyFont="1" applyFill="1" applyBorder="1" applyAlignment="1">
      <alignment/>
    </xf>
    <xf numFmtId="166" fontId="1" fillId="5" borderId="107" xfId="0" applyNumberFormat="1" applyFont="1" applyFill="1" applyBorder="1" applyAlignment="1">
      <alignment/>
    </xf>
    <xf numFmtId="0" fontId="14" fillId="0" borderId="95" xfId="0" applyFont="1" applyFill="1" applyBorder="1" applyAlignment="1">
      <alignment/>
    </xf>
    <xf numFmtId="165" fontId="0" fillId="0" borderId="46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30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65" fontId="9" fillId="0" borderId="71" xfId="0" applyNumberFormat="1" applyFont="1" applyBorder="1" applyAlignment="1">
      <alignment/>
    </xf>
    <xf numFmtId="3" fontId="9" fillId="0" borderId="88" xfId="0" applyNumberFormat="1" applyFont="1" applyBorder="1" applyAlignment="1">
      <alignment/>
    </xf>
    <xf numFmtId="165" fontId="9" fillId="0" borderId="28" xfId="0" applyNumberFormat="1" applyFont="1" applyBorder="1" applyAlignment="1">
      <alignment/>
    </xf>
    <xf numFmtId="3" fontId="9" fillId="0" borderId="4" xfId="0" applyNumberFormat="1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165" fontId="9" fillId="0" borderId="52" xfId="0" applyNumberFormat="1" applyFont="1" applyBorder="1" applyAlignment="1">
      <alignment/>
    </xf>
    <xf numFmtId="165" fontId="0" fillId="0" borderId="61" xfId="0" applyNumberFormat="1" applyFont="1" applyBorder="1" applyAlignment="1">
      <alignment horizontal="left"/>
    </xf>
    <xf numFmtId="165" fontId="0" fillId="0" borderId="86" xfId="0" applyNumberFormat="1" applyFont="1" applyBorder="1" applyAlignment="1">
      <alignment horizontal="left"/>
    </xf>
    <xf numFmtId="165" fontId="0" fillId="0" borderId="46" xfId="0" applyNumberFormat="1" applyFont="1" applyBorder="1" applyAlignment="1">
      <alignment horizontal="right"/>
    </xf>
    <xf numFmtId="0" fontId="0" fillId="0" borderId="44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115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0" fillId="0" borderId="117" xfId="0" applyNumberFormat="1" applyFont="1" applyFill="1" applyBorder="1" applyAlignment="1">
      <alignment/>
    </xf>
    <xf numFmtId="3" fontId="10" fillId="0" borderId="115" xfId="0" applyNumberFormat="1" applyFont="1" applyFill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166" fontId="1" fillId="5" borderId="107" xfId="0" applyNumberFormat="1" applyFont="1" applyFill="1" applyBorder="1" applyAlignment="1">
      <alignment/>
    </xf>
    <xf numFmtId="165" fontId="9" fillId="0" borderId="7" xfId="0" applyNumberFormat="1" applyFont="1" applyBorder="1" applyAlignment="1">
      <alignment/>
    </xf>
    <xf numFmtId="165" fontId="9" fillId="0" borderId="30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169" fontId="9" fillId="0" borderId="29" xfId="0" applyNumberFormat="1" applyFont="1" applyBorder="1" applyAlignment="1">
      <alignment/>
    </xf>
    <xf numFmtId="165" fontId="9" fillId="0" borderId="44" xfId="0" applyNumberFormat="1" applyFont="1" applyBorder="1" applyAlignment="1">
      <alignment/>
    </xf>
    <xf numFmtId="165" fontId="9" fillId="0" borderId="47" xfId="0" applyNumberFormat="1" applyFont="1" applyBorder="1" applyAlignment="1">
      <alignment/>
    </xf>
    <xf numFmtId="165" fontId="9" fillId="0" borderId="86" xfId="0" applyNumberFormat="1" applyFont="1" applyBorder="1" applyAlignment="1">
      <alignment/>
    </xf>
    <xf numFmtId="3" fontId="9" fillId="0" borderId="61" xfId="0" applyNumberFormat="1" applyFont="1" applyFill="1" applyBorder="1" applyAlignment="1">
      <alignment/>
    </xf>
    <xf numFmtId="169" fontId="9" fillId="0" borderId="61" xfId="0" applyNumberFormat="1" applyFont="1" applyBorder="1" applyAlignment="1">
      <alignment/>
    </xf>
    <xf numFmtId="169" fontId="9" fillId="0" borderId="62" xfId="0" applyNumberFormat="1" applyFont="1" applyBorder="1" applyAlignment="1">
      <alignment/>
    </xf>
    <xf numFmtId="165" fontId="9" fillId="0" borderId="69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29" xfId="0" applyNumberFormat="1" applyFont="1" applyBorder="1" applyAlignment="1">
      <alignment/>
    </xf>
    <xf numFmtId="0" fontId="15" fillId="0" borderId="4" xfId="0" applyFont="1" applyBorder="1" applyAlignment="1">
      <alignment horizontal="lef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65" fontId="9" fillId="0" borderId="9" xfId="0" applyNumberFormat="1" applyFont="1" applyBorder="1" applyAlignment="1">
      <alignment horizontal="right"/>
    </xf>
    <xf numFmtId="165" fontId="9" fillId="0" borderId="67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/>
    </xf>
    <xf numFmtId="165" fontId="9" fillId="0" borderId="68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3" fontId="9" fillId="0" borderId="119" xfId="0" applyNumberFormat="1" applyFont="1" applyBorder="1" applyAlignment="1">
      <alignment/>
    </xf>
    <xf numFmtId="0" fontId="9" fillId="0" borderId="123" xfId="0" applyFont="1" applyBorder="1" applyAlignment="1">
      <alignment horizontal="left"/>
    </xf>
    <xf numFmtId="169" fontId="9" fillId="0" borderId="121" xfId="0" applyNumberFormat="1" applyFont="1" applyBorder="1" applyAlignment="1">
      <alignment horizontal="left"/>
    </xf>
    <xf numFmtId="165" fontId="9" fillId="0" borderId="121" xfId="0" applyNumberFormat="1" applyFont="1" applyBorder="1" applyAlignment="1">
      <alignment horizontal="left"/>
    </xf>
    <xf numFmtId="165" fontId="9" fillId="0" borderId="124" xfId="0" applyNumberFormat="1" applyFont="1" applyBorder="1" applyAlignment="1">
      <alignment horizontal="left"/>
    </xf>
    <xf numFmtId="165" fontId="9" fillId="0" borderId="123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69" xfId="0" applyNumberFormat="1" applyFont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165" fontId="9" fillId="0" borderId="7" xfId="0" applyNumberFormat="1" applyFont="1" applyFill="1" applyBorder="1" applyAlignment="1">
      <alignment/>
    </xf>
    <xf numFmtId="2" fontId="9" fillId="0" borderId="61" xfId="0" applyNumberFormat="1" applyFont="1" applyFill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9" xfId="0" applyNumberFormat="1" applyFont="1" applyFill="1" applyBorder="1" applyAlignment="1">
      <alignment/>
    </xf>
    <xf numFmtId="169" fontId="9" fillId="0" borderId="9" xfId="0" applyNumberFormat="1" applyFont="1" applyFill="1" applyBorder="1" applyAlignment="1">
      <alignment/>
    </xf>
    <xf numFmtId="169" fontId="9" fillId="0" borderId="95" xfId="0" applyNumberFormat="1" applyFont="1" applyFill="1" applyBorder="1" applyAlignment="1">
      <alignment/>
    </xf>
    <xf numFmtId="3" fontId="9" fillId="0" borderId="69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5" fontId="9" fillId="0" borderId="61" xfId="0" applyNumberFormat="1" applyFont="1" applyBorder="1" applyAlignment="1">
      <alignment/>
    </xf>
    <xf numFmtId="165" fontId="9" fillId="0" borderId="30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165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69" fontId="9" fillId="0" borderId="29" xfId="0" applyNumberFormat="1" applyFont="1" applyBorder="1" applyAlignment="1">
      <alignment/>
    </xf>
    <xf numFmtId="2" fontId="9" fillId="0" borderId="29" xfId="0" applyNumberFormat="1" applyFont="1" applyBorder="1" applyAlignment="1">
      <alignment/>
    </xf>
    <xf numFmtId="165" fontId="9" fillId="0" borderId="86" xfId="0" applyNumberFormat="1" applyFont="1" applyBorder="1" applyAlignment="1">
      <alignment/>
    </xf>
    <xf numFmtId="169" fontId="9" fillId="0" borderId="62" xfId="0" applyNumberFormat="1" applyFont="1" applyBorder="1" applyAlignment="1">
      <alignment/>
    </xf>
    <xf numFmtId="165" fontId="9" fillId="0" borderId="69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0" fillId="0" borderId="46" xfId="0" applyNumberFormat="1" applyFont="1" applyBorder="1" applyAlignment="1">
      <alignment/>
    </xf>
    <xf numFmtId="1" fontId="0" fillId="0" borderId="61" xfId="0" applyNumberFormat="1" applyFont="1" applyBorder="1" applyAlignment="1">
      <alignment/>
    </xf>
    <xf numFmtId="0" fontId="0" fillId="4" borderId="1" xfId="0" applyFont="1" applyFill="1" applyBorder="1" applyAlignment="1">
      <alignment horizontal="center"/>
    </xf>
    <xf numFmtId="3" fontId="1" fillId="0" borderId="125" xfId="0" applyNumberFormat="1" applyFont="1" applyBorder="1" applyAlignment="1">
      <alignment/>
    </xf>
    <xf numFmtId="0" fontId="0" fillId="0" borderId="53" xfId="0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5" fontId="9" fillId="0" borderId="47" xfId="0" applyNumberFormat="1" applyFont="1" applyBorder="1" applyAlignment="1">
      <alignment/>
    </xf>
    <xf numFmtId="165" fontId="9" fillId="0" borderId="47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9" fontId="0" fillId="0" borderId="46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88" xfId="0" applyNumberFormat="1" applyFont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2" fontId="0" fillId="0" borderId="29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165" fontId="0" fillId="0" borderId="69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165" fontId="0" fillId="0" borderId="71" xfId="0" applyNumberFormat="1" applyFont="1" applyBorder="1" applyAlignment="1">
      <alignment horizontal="right"/>
    </xf>
    <xf numFmtId="0" fontId="0" fillId="0" borderId="80" xfId="0" applyFont="1" applyBorder="1" applyAlignment="1">
      <alignment horizontal="right"/>
    </xf>
    <xf numFmtId="0" fontId="9" fillId="0" borderId="44" xfId="0" applyFont="1" applyFill="1" applyBorder="1" applyAlignment="1">
      <alignment horizontal="center"/>
    </xf>
    <xf numFmtId="165" fontId="0" fillId="0" borderId="7" xfId="0" applyNumberFormat="1" applyFont="1" applyBorder="1" applyAlignment="1">
      <alignment/>
    </xf>
    <xf numFmtId="0" fontId="15" fillId="0" borderId="44" xfId="0" applyFont="1" applyBorder="1" applyAlignment="1">
      <alignment horizontal="left"/>
    </xf>
    <xf numFmtId="3" fontId="0" fillId="0" borderId="4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165" fontId="0" fillId="0" borderId="9" xfId="0" applyNumberFormat="1" applyBorder="1" applyAlignment="1">
      <alignment/>
    </xf>
    <xf numFmtId="3" fontId="0" fillId="0" borderId="67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left"/>
    </xf>
    <xf numFmtId="3" fontId="18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/>
    </xf>
    <xf numFmtId="3" fontId="16" fillId="0" borderId="46" xfId="0" applyNumberFormat="1" applyFont="1" applyBorder="1" applyAlignment="1">
      <alignment/>
    </xf>
    <xf numFmtId="3" fontId="16" fillId="0" borderId="70" xfId="0" applyNumberFormat="1" applyFont="1" applyBorder="1" applyAlignment="1">
      <alignment/>
    </xf>
    <xf numFmtId="3" fontId="16" fillId="0" borderId="61" xfId="0" applyNumberFormat="1" applyFont="1" applyBorder="1" applyAlignment="1">
      <alignment/>
    </xf>
    <xf numFmtId="3" fontId="16" fillId="0" borderId="45" xfId="0" applyNumberFormat="1" applyFont="1" applyBorder="1" applyAlignment="1">
      <alignment/>
    </xf>
    <xf numFmtId="164" fontId="16" fillId="0" borderId="45" xfId="0" applyNumberFormat="1" applyFont="1" applyBorder="1" applyAlignment="1">
      <alignment/>
    </xf>
    <xf numFmtId="169" fontId="16" fillId="0" borderId="47" xfId="0" applyNumberFormat="1" applyFont="1" applyBorder="1" applyAlignment="1">
      <alignment/>
    </xf>
    <xf numFmtId="165" fontId="16" fillId="0" borderId="61" xfId="0" applyNumberFormat="1" applyFont="1" applyBorder="1" applyAlignment="1">
      <alignment/>
    </xf>
    <xf numFmtId="3" fontId="16" fillId="0" borderId="71" xfId="0" applyNumberFormat="1" applyFont="1" applyBorder="1" applyAlignment="1">
      <alignment/>
    </xf>
    <xf numFmtId="164" fontId="16" fillId="0" borderId="46" xfId="0" applyNumberFormat="1" applyFont="1" applyBorder="1" applyAlignment="1">
      <alignment/>
    </xf>
    <xf numFmtId="3" fontId="16" fillId="0" borderId="44" xfId="0" applyNumberFormat="1" applyFont="1" applyBorder="1" applyAlignment="1">
      <alignment/>
    </xf>
    <xf numFmtId="3" fontId="16" fillId="0" borderId="88" xfId="0" applyNumberFormat="1" applyFont="1" applyBorder="1" applyAlignment="1">
      <alignment/>
    </xf>
    <xf numFmtId="165" fontId="16" fillId="0" borderId="46" xfId="0" applyNumberFormat="1" applyFont="1" applyBorder="1" applyAlignment="1">
      <alignment/>
    </xf>
    <xf numFmtId="165" fontId="16" fillId="0" borderId="86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166" fontId="18" fillId="0" borderId="107" xfId="0" applyNumberFormat="1" applyFont="1" applyBorder="1" applyAlignment="1">
      <alignment/>
    </xf>
    <xf numFmtId="166" fontId="18" fillId="0" borderId="107" xfId="0" applyNumberFormat="1" applyFont="1" applyBorder="1" applyAlignment="1">
      <alignment/>
    </xf>
    <xf numFmtId="166" fontId="18" fillId="3" borderId="107" xfId="0" applyNumberFormat="1" applyFont="1" applyFill="1" applyBorder="1" applyAlignment="1">
      <alignment/>
    </xf>
    <xf numFmtId="166" fontId="18" fillId="5" borderId="107" xfId="0" applyNumberFormat="1" applyFont="1" applyFill="1" applyBorder="1" applyAlignment="1">
      <alignment/>
    </xf>
    <xf numFmtId="3" fontId="16" fillId="0" borderId="107" xfId="0" applyNumberFormat="1" applyFont="1" applyBorder="1" applyAlignment="1">
      <alignment/>
    </xf>
    <xf numFmtId="166" fontId="19" fillId="0" borderId="126" xfId="0" applyNumberFormat="1" applyFont="1" applyBorder="1" applyAlignment="1">
      <alignment/>
    </xf>
    <xf numFmtId="166" fontId="16" fillId="0" borderId="126" xfId="0" applyNumberFormat="1" applyFont="1" applyBorder="1" applyAlignment="1">
      <alignment/>
    </xf>
    <xf numFmtId="3" fontId="16" fillId="0" borderId="126" xfId="0" applyNumberFormat="1" applyFont="1" applyBorder="1" applyAlignment="1">
      <alignment/>
    </xf>
    <xf numFmtId="166" fontId="0" fillId="0" borderId="127" xfId="0" applyNumberFormat="1" applyBorder="1" applyAlignment="1">
      <alignment/>
    </xf>
    <xf numFmtId="3" fontId="0" fillId="0" borderId="127" xfId="0" applyNumberFormat="1" applyBorder="1" applyAlignment="1">
      <alignment/>
    </xf>
    <xf numFmtId="166" fontId="18" fillId="0" borderId="107" xfId="0" applyNumberFormat="1" applyFont="1" applyFill="1" applyBorder="1" applyAlignment="1">
      <alignment/>
    </xf>
    <xf numFmtId="165" fontId="0" fillId="0" borderId="66" xfId="0" applyNumberFormat="1" applyFont="1" applyBorder="1" applyAlignment="1">
      <alignment/>
    </xf>
    <xf numFmtId="165" fontId="16" fillId="0" borderId="7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0" fontId="17" fillId="0" borderId="71" xfId="0" applyFont="1" applyBorder="1" applyAlignment="1">
      <alignment horizontal="left"/>
    </xf>
    <xf numFmtId="165" fontId="0" fillId="0" borderId="92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165" fontId="0" fillId="0" borderId="69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164" fontId="16" fillId="0" borderId="45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169" fontId="16" fillId="0" borderId="29" xfId="0" applyNumberFormat="1" applyFont="1" applyBorder="1" applyAlignment="1">
      <alignment/>
    </xf>
    <xf numFmtId="3" fontId="16" fillId="0" borderId="46" xfId="0" applyNumberFormat="1" applyFont="1" applyBorder="1" applyAlignment="1">
      <alignment/>
    </xf>
    <xf numFmtId="3" fontId="16" fillId="0" borderId="61" xfId="0" applyNumberFormat="1" applyFont="1" applyBorder="1" applyAlignment="1">
      <alignment/>
    </xf>
    <xf numFmtId="165" fontId="16" fillId="0" borderId="61" xfId="0" applyNumberFormat="1" applyFont="1" applyBorder="1" applyAlignment="1">
      <alignment/>
    </xf>
    <xf numFmtId="3" fontId="16" fillId="0" borderId="45" xfId="0" applyNumberFormat="1" applyFont="1" applyBorder="1" applyAlignment="1">
      <alignment/>
    </xf>
    <xf numFmtId="164" fontId="16" fillId="0" borderId="47" xfId="0" applyNumberFormat="1" applyFont="1" applyBorder="1" applyAlignment="1">
      <alignment/>
    </xf>
    <xf numFmtId="3" fontId="16" fillId="0" borderId="70" xfId="0" applyNumberFormat="1" applyFont="1" applyBorder="1" applyAlignment="1">
      <alignment/>
    </xf>
    <xf numFmtId="3" fontId="16" fillId="0" borderId="44" xfId="0" applyNumberFormat="1" applyFont="1" applyBorder="1" applyAlignment="1">
      <alignment/>
    </xf>
    <xf numFmtId="3" fontId="16" fillId="0" borderId="88" xfId="0" applyNumberFormat="1" applyFont="1" applyBorder="1" applyAlignment="1">
      <alignment/>
    </xf>
    <xf numFmtId="3" fontId="16" fillId="0" borderId="47" xfId="0" applyNumberFormat="1" applyFont="1" applyBorder="1" applyAlignment="1">
      <alignment/>
    </xf>
    <xf numFmtId="165" fontId="16" fillId="0" borderId="70" xfId="0" applyNumberFormat="1" applyFont="1" applyBorder="1" applyAlignment="1">
      <alignment/>
    </xf>
    <xf numFmtId="165" fontId="16" fillId="0" borderId="86" xfId="0" applyNumberFormat="1" applyFont="1" applyBorder="1" applyAlignment="1">
      <alignment/>
    </xf>
    <xf numFmtId="165" fontId="16" fillId="0" borderId="47" xfId="0" applyNumberFormat="1" applyFont="1" applyBorder="1" applyAlignment="1">
      <alignment/>
    </xf>
    <xf numFmtId="165" fontId="16" fillId="0" borderId="47" xfId="0" applyNumberFormat="1" applyFont="1" applyBorder="1" applyAlignment="1">
      <alignment/>
    </xf>
    <xf numFmtId="165" fontId="16" fillId="0" borderId="45" xfId="0" applyNumberFormat="1" applyFont="1" applyBorder="1" applyAlignment="1">
      <alignment/>
    </xf>
    <xf numFmtId="165" fontId="16" fillId="0" borderId="7" xfId="0" applyNumberFormat="1" applyFont="1" applyBorder="1" applyAlignment="1">
      <alignment/>
    </xf>
    <xf numFmtId="3" fontId="16" fillId="0" borderId="45" xfId="0" applyNumberFormat="1" applyFont="1" applyBorder="1" applyAlignment="1">
      <alignment/>
    </xf>
    <xf numFmtId="3" fontId="16" fillId="0" borderId="44" xfId="0" applyNumberFormat="1" applyFont="1" applyBorder="1" applyAlignment="1">
      <alignment/>
    </xf>
    <xf numFmtId="3" fontId="16" fillId="0" borderId="88" xfId="0" applyNumberFormat="1" applyFont="1" applyBorder="1" applyAlignment="1">
      <alignment/>
    </xf>
    <xf numFmtId="3" fontId="16" fillId="0" borderId="47" xfId="0" applyNumberFormat="1" applyFont="1" applyBorder="1" applyAlignment="1">
      <alignment/>
    </xf>
    <xf numFmtId="169" fontId="16" fillId="0" borderId="86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165" fontId="0" fillId="0" borderId="66" xfId="0" applyNumberFormat="1" applyBorder="1" applyAlignment="1">
      <alignment/>
    </xf>
    <xf numFmtId="165" fontId="16" fillId="0" borderId="71" xfId="0" applyNumberFormat="1" applyFont="1" applyBorder="1" applyAlignment="1">
      <alignment/>
    </xf>
    <xf numFmtId="3" fontId="16" fillId="0" borderId="71" xfId="0" applyNumberFormat="1" applyFont="1" applyBorder="1" applyAlignment="1">
      <alignment/>
    </xf>
    <xf numFmtId="0" fontId="1" fillId="0" borderId="4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44" xfId="0" applyNumberFormat="1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165" fontId="0" fillId="0" borderId="45" xfId="0" applyNumberFormat="1" applyFill="1" applyBorder="1" applyAlignment="1">
      <alignment/>
    </xf>
    <xf numFmtId="165" fontId="0" fillId="0" borderId="46" xfId="0" applyNumberFormat="1" applyFill="1" applyBorder="1" applyAlignment="1">
      <alignment/>
    </xf>
    <xf numFmtId="165" fontId="0" fillId="0" borderId="70" xfId="0" applyNumberFormat="1" applyFill="1" applyBorder="1" applyAlignment="1">
      <alignment/>
    </xf>
    <xf numFmtId="165" fontId="0" fillId="0" borderId="47" xfId="0" applyNumberFormat="1" applyFill="1" applyBorder="1" applyAlignment="1">
      <alignment/>
    </xf>
    <xf numFmtId="165" fontId="0" fillId="0" borderId="61" xfId="0" applyNumberFormat="1" applyFill="1" applyBorder="1" applyAlignment="1">
      <alignment/>
    </xf>
    <xf numFmtId="165" fontId="0" fillId="0" borderId="71" xfId="0" applyNumberFormat="1" applyFill="1" applyBorder="1" applyAlignment="1">
      <alignment/>
    </xf>
    <xf numFmtId="169" fontId="0" fillId="0" borderId="86" xfId="0" applyNumberFormat="1" applyFill="1" applyBorder="1" applyAlignment="1">
      <alignment/>
    </xf>
    <xf numFmtId="169" fontId="0" fillId="0" borderId="46" xfId="0" applyNumberFormat="1" applyFill="1" applyBorder="1" applyAlignment="1">
      <alignment/>
    </xf>
    <xf numFmtId="169" fontId="0" fillId="0" borderId="6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0" borderId="30" xfId="0" applyNumberFormat="1" applyFill="1" applyBorder="1" applyAlignment="1">
      <alignment/>
    </xf>
    <xf numFmtId="165" fontId="0" fillId="0" borderId="33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165" fontId="0" fillId="0" borderId="29" xfId="0" applyNumberFormat="1" applyFill="1" applyBorder="1" applyAlignment="1">
      <alignment/>
    </xf>
    <xf numFmtId="169" fontId="0" fillId="0" borderId="62" xfId="0" applyNumberFormat="1" applyFill="1" applyBorder="1" applyAlignment="1">
      <alignment/>
    </xf>
    <xf numFmtId="169" fontId="0" fillId="0" borderId="69" xfId="0" applyNumberFormat="1" applyFill="1" applyBorder="1" applyAlignment="1">
      <alignment/>
    </xf>
    <xf numFmtId="169" fontId="0" fillId="0" borderId="29" xfId="0" applyNumberFormat="1" applyFill="1" applyBorder="1" applyAlignment="1">
      <alignment/>
    </xf>
    <xf numFmtId="165" fontId="0" fillId="0" borderId="69" xfId="0" applyNumberFormat="1" applyFill="1" applyBorder="1" applyAlignment="1">
      <alignment/>
    </xf>
    <xf numFmtId="165" fontId="0" fillId="0" borderId="62" xfId="0" applyNumberForma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9" fillId="0" borderId="44" xfId="0" applyNumberFormat="1" applyFont="1" applyFill="1" applyBorder="1" applyAlignment="1">
      <alignment horizontal="center"/>
    </xf>
    <xf numFmtId="0" fontId="15" fillId="0" borderId="44" xfId="0" applyNumberFormat="1" applyFont="1" applyFill="1" applyBorder="1" applyAlignment="1">
      <alignment horizontal="left"/>
    </xf>
    <xf numFmtId="165" fontId="9" fillId="0" borderId="46" xfId="0" applyNumberFormat="1" applyFont="1" applyBorder="1" applyAlignment="1">
      <alignment/>
    </xf>
    <xf numFmtId="165" fontId="9" fillId="0" borderId="45" xfId="0" applyNumberFormat="1" applyFont="1" applyBorder="1" applyAlignment="1">
      <alignment/>
    </xf>
    <xf numFmtId="165" fontId="9" fillId="0" borderId="70" xfId="0" applyNumberFormat="1" applyFont="1" applyBorder="1" applyAlignment="1">
      <alignment/>
    </xf>
    <xf numFmtId="0" fontId="9" fillId="0" borderId="21" xfId="0" applyFont="1" applyFill="1" applyBorder="1" applyAlignment="1">
      <alignment horizontal="center"/>
    </xf>
    <xf numFmtId="0" fontId="15" fillId="0" borderId="44" xfId="0" applyFont="1" applyBorder="1" applyAlignment="1">
      <alignment horizontal="left"/>
    </xf>
    <xf numFmtId="165" fontId="0" fillId="0" borderId="5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9" fillId="0" borderId="9" xfId="0" applyNumberFormat="1" applyFont="1" applyBorder="1" applyAlignment="1">
      <alignment/>
    </xf>
    <xf numFmtId="169" fontId="0" fillId="0" borderId="95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9" xfId="0" applyNumberFormat="1" applyBorder="1" applyAlignment="1">
      <alignment/>
    </xf>
    <xf numFmtId="165" fontId="0" fillId="0" borderId="67" xfId="0" applyNumberFormat="1" applyBorder="1" applyAlignment="1">
      <alignment/>
    </xf>
    <xf numFmtId="0" fontId="9" fillId="0" borderId="44" xfId="0" applyNumberFormat="1" applyFont="1" applyBorder="1" applyAlignment="1">
      <alignment horizontal="center"/>
    </xf>
    <xf numFmtId="0" fontId="15" fillId="0" borderId="44" xfId="0" applyNumberFormat="1" applyFont="1" applyBorder="1" applyAlignment="1">
      <alignment horizontal="left"/>
    </xf>
    <xf numFmtId="165" fontId="0" fillId="0" borderId="9" xfId="0" applyNumberFormat="1" applyFont="1" applyBorder="1" applyAlignment="1">
      <alignment/>
    </xf>
    <xf numFmtId="165" fontId="0" fillId="0" borderId="52" xfId="0" applyNumberFormat="1" applyFont="1" applyBorder="1" applyAlignment="1">
      <alignment/>
    </xf>
    <xf numFmtId="0" fontId="5" fillId="0" borderId="51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169" fontId="9" fillId="0" borderId="61" xfId="0" applyNumberFormat="1" applyFont="1" applyBorder="1" applyAlignment="1">
      <alignment/>
    </xf>
    <xf numFmtId="169" fontId="9" fillId="0" borderId="86" xfId="0" applyNumberFormat="1" applyFont="1" applyBorder="1" applyAlignment="1">
      <alignment/>
    </xf>
    <xf numFmtId="169" fontId="9" fillId="0" borderId="71" xfId="0" applyNumberFormat="1" applyFont="1" applyBorder="1" applyAlignment="1">
      <alignment/>
    </xf>
    <xf numFmtId="169" fontId="0" fillId="0" borderId="77" xfId="0" applyNumberFormat="1" applyBorder="1" applyAlignment="1">
      <alignment/>
    </xf>
    <xf numFmtId="169" fontId="9" fillId="0" borderId="28" xfId="0" applyNumberFormat="1" applyFont="1" applyBorder="1" applyAlignment="1">
      <alignment/>
    </xf>
    <xf numFmtId="169" fontId="9" fillId="0" borderId="29" xfId="0" applyNumberFormat="1" applyFont="1" applyBorder="1" applyAlignment="1">
      <alignment/>
    </xf>
    <xf numFmtId="169" fontId="9" fillId="0" borderId="30" xfId="0" applyNumberFormat="1" applyFont="1" applyBorder="1" applyAlignment="1">
      <alignment/>
    </xf>
    <xf numFmtId="169" fontId="9" fillId="0" borderId="46" xfId="0" applyNumberFormat="1" applyFont="1" applyBorder="1" applyAlignment="1">
      <alignment/>
    </xf>
    <xf numFmtId="0" fontId="15" fillId="0" borderId="48" xfId="0" applyFont="1" applyBorder="1" applyAlignment="1">
      <alignment horizontal="left"/>
    </xf>
    <xf numFmtId="165" fontId="21" fillId="0" borderId="50" xfId="0" applyNumberFormat="1" applyFont="1" applyBorder="1" applyAlignment="1">
      <alignment/>
    </xf>
    <xf numFmtId="165" fontId="21" fillId="0" borderId="64" xfId="0" applyNumberFormat="1" applyFont="1" applyBorder="1" applyAlignment="1">
      <alignment/>
    </xf>
    <xf numFmtId="165" fontId="21" fillId="0" borderId="46" xfId="0" applyNumberFormat="1" applyFont="1" applyBorder="1" applyAlignment="1">
      <alignment/>
    </xf>
    <xf numFmtId="165" fontId="21" fillId="0" borderId="61" xfId="0" applyNumberFormat="1" applyFont="1" applyBorder="1" applyAlignment="1">
      <alignment/>
    </xf>
    <xf numFmtId="0" fontId="15" fillId="0" borderId="48" xfId="0" applyFont="1" applyBorder="1" applyAlignment="1">
      <alignment horizontal="left"/>
    </xf>
    <xf numFmtId="0" fontId="9" fillId="0" borderId="4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65" fontId="22" fillId="0" borderId="71" xfId="0" applyNumberFormat="1" applyFont="1" applyBorder="1" applyAlignment="1">
      <alignment/>
    </xf>
    <xf numFmtId="165" fontId="18" fillId="0" borderId="46" xfId="0" applyNumberFormat="1" applyFont="1" applyBorder="1" applyAlignment="1">
      <alignment/>
    </xf>
    <xf numFmtId="165" fontId="18" fillId="0" borderId="70" xfId="0" applyNumberFormat="1" applyFont="1" applyBorder="1" applyAlignment="1">
      <alignment/>
    </xf>
    <xf numFmtId="165" fontId="18" fillId="0" borderId="61" xfId="0" applyNumberFormat="1" applyFont="1" applyBorder="1" applyAlignment="1">
      <alignment/>
    </xf>
    <xf numFmtId="169" fontId="18" fillId="0" borderId="86" xfId="0" applyNumberFormat="1" applyFont="1" applyBorder="1" applyAlignment="1">
      <alignment/>
    </xf>
    <xf numFmtId="165" fontId="18" fillId="0" borderId="45" xfId="0" applyNumberFormat="1" applyFont="1" applyBorder="1" applyAlignment="1">
      <alignment/>
    </xf>
    <xf numFmtId="165" fontId="18" fillId="0" borderId="71" xfId="0" applyNumberFormat="1" applyFont="1" applyBorder="1" applyAlignment="1">
      <alignment/>
    </xf>
    <xf numFmtId="169" fontId="18" fillId="0" borderId="46" xfId="0" applyNumberFormat="1" applyFont="1" applyBorder="1" applyAlignment="1">
      <alignment/>
    </xf>
    <xf numFmtId="165" fontId="18" fillId="0" borderId="47" xfId="0" applyNumberFormat="1" applyFont="1" applyBorder="1" applyAlignment="1">
      <alignment/>
    </xf>
    <xf numFmtId="165" fontId="18" fillId="0" borderId="86" xfId="0" applyNumberFormat="1" applyFont="1" applyBorder="1" applyAlignment="1">
      <alignment/>
    </xf>
    <xf numFmtId="165" fontId="16" fillId="0" borderId="46" xfId="0" applyNumberFormat="1" applyFont="1" applyBorder="1" applyAlignment="1">
      <alignment/>
    </xf>
    <xf numFmtId="165" fontId="16" fillId="0" borderId="70" xfId="0" applyNumberFormat="1" applyFont="1" applyBorder="1" applyAlignment="1">
      <alignment/>
    </xf>
    <xf numFmtId="165" fontId="16" fillId="0" borderId="61" xfId="0" applyNumberFormat="1" applyFont="1" applyBorder="1" applyAlignment="1">
      <alignment/>
    </xf>
    <xf numFmtId="165" fontId="16" fillId="0" borderId="47" xfId="0" applyNumberFormat="1" applyFont="1" applyBorder="1" applyAlignment="1">
      <alignment/>
    </xf>
    <xf numFmtId="165" fontId="16" fillId="0" borderId="71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9" fontId="0" fillId="0" borderId="86" xfId="0" applyNumberFormat="1" applyFont="1" applyBorder="1" applyAlignment="1">
      <alignment/>
    </xf>
    <xf numFmtId="169" fontId="16" fillId="0" borderId="86" xfId="0" applyNumberFormat="1" applyFont="1" applyBorder="1" applyAlignment="1">
      <alignment/>
    </xf>
    <xf numFmtId="169" fontId="16" fillId="0" borderId="61" xfId="0" applyNumberFormat="1" applyFont="1" applyBorder="1" applyAlignment="1">
      <alignment/>
    </xf>
    <xf numFmtId="169" fontId="23" fillId="0" borderId="61" xfId="0" applyNumberFormat="1" applyFont="1" applyBorder="1" applyAlignment="1">
      <alignment/>
    </xf>
    <xf numFmtId="169" fontId="23" fillId="0" borderId="86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9" fontId="0" fillId="0" borderId="86" xfId="0" applyNumberFormat="1" applyFont="1" applyBorder="1" applyAlignment="1">
      <alignment/>
    </xf>
    <xf numFmtId="169" fontId="0" fillId="0" borderId="47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65" fontId="0" fillId="0" borderId="64" xfId="0" applyNumberFormat="1" applyFont="1" applyBorder="1" applyAlignment="1">
      <alignment/>
    </xf>
    <xf numFmtId="165" fontId="9" fillId="0" borderId="74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169" fontId="0" fillId="0" borderId="86" xfId="0" applyNumberFormat="1" applyFont="1" applyBorder="1" applyAlignment="1">
      <alignment/>
    </xf>
    <xf numFmtId="169" fontId="0" fillId="0" borderId="71" xfId="0" applyNumberFormat="1" applyFont="1" applyBorder="1" applyAlignment="1">
      <alignment/>
    </xf>
    <xf numFmtId="165" fontId="9" fillId="0" borderId="64" xfId="0" applyNumberFormat="1" applyFont="1" applyBorder="1" applyAlignment="1">
      <alignment/>
    </xf>
    <xf numFmtId="0" fontId="10" fillId="0" borderId="106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0" fillId="0" borderId="45" xfId="0" applyFont="1" applyBorder="1" applyAlignment="1">
      <alignment horizontal="left"/>
    </xf>
    <xf numFmtId="169" fontId="0" fillId="0" borderId="69" xfId="0" applyNumberFormat="1" applyFont="1" applyBorder="1" applyAlignment="1">
      <alignment/>
    </xf>
    <xf numFmtId="0" fontId="10" fillId="0" borderId="6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69" fontId="0" fillId="0" borderId="70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70" xfId="0" applyNumberFormat="1" applyBorder="1" applyAlignment="1">
      <alignment/>
    </xf>
    <xf numFmtId="169" fontId="1" fillId="0" borderId="55" xfId="0" applyNumberFormat="1" applyFont="1" applyBorder="1" applyAlignment="1">
      <alignment/>
    </xf>
    <xf numFmtId="169" fontId="0" fillId="0" borderId="33" xfId="0" applyNumberFormat="1" applyFill="1" applyBorder="1" applyAlignment="1">
      <alignment/>
    </xf>
    <xf numFmtId="169" fontId="0" fillId="0" borderId="33" xfId="0" applyNumberFormat="1" applyBorder="1" applyAlignment="1">
      <alignment/>
    </xf>
    <xf numFmtId="169" fontId="1" fillId="0" borderId="73" xfId="0" applyNumberFormat="1" applyFont="1" applyBorder="1" applyAlignment="1">
      <alignment/>
    </xf>
    <xf numFmtId="169" fontId="1" fillId="0" borderId="70" xfId="0" applyNumberFormat="1" applyFont="1" applyBorder="1" applyAlignment="1">
      <alignment/>
    </xf>
    <xf numFmtId="169" fontId="1" fillId="0" borderId="33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9" fontId="1" fillId="0" borderId="75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6" fillId="0" borderId="61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65" fontId="0" fillId="0" borderId="46" xfId="0" applyNumberFormat="1" applyFont="1" applyBorder="1" applyAlignment="1">
      <alignment/>
    </xf>
    <xf numFmtId="169" fontId="0" fillId="0" borderId="70" xfId="0" applyNumberFormat="1" applyFont="1" applyBorder="1" applyAlignment="1">
      <alignment/>
    </xf>
    <xf numFmtId="169" fontId="0" fillId="0" borderId="47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21" fillId="0" borderId="7" xfId="0" applyNumberFormat="1" applyFont="1" applyBorder="1" applyAlignment="1">
      <alignment/>
    </xf>
    <xf numFmtId="165" fontId="21" fillId="0" borderId="30" xfId="0" applyNumberFormat="1" applyFont="1" applyBorder="1" applyAlignment="1">
      <alignment/>
    </xf>
    <xf numFmtId="165" fontId="21" fillId="0" borderId="33" xfId="0" applyNumberFormat="1" applyFont="1" applyBorder="1" applyAlignment="1">
      <alignment/>
    </xf>
    <xf numFmtId="165" fontId="21" fillId="0" borderId="28" xfId="0" applyNumberFormat="1" applyFont="1" applyBorder="1" applyAlignment="1">
      <alignment/>
    </xf>
    <xf numFmtId="165" fontId="21" fillId="0" borderId="29" xfId="0" applyNumberFormat="1" applyFont="1" applyBorder="1" applyAlignment="1">
      <alignment/>
    </xf>
    <xf numFmtId="165" fontId="21" fillId="0" borderId="62" xfId="0" applyNumberFormat="1" applyFont="1" applyBorder="1" applyAlignment="1">
      <alignment/>
    </xf>
    <xf numFmtId="169" fontId="21" fillId="0" borderId="62" xfId="0" applyNumberFormat="1" applyFont="1" applyBorder="1" applyAlignment="1">
      <alignment/>
    </xf>
    <xf numFmtId="169" fontId="21" fillId="0" borderId="28" xfId="0" applyNumberFormat="1" applyFont="1" applyBorder="1" applyAlignment="1">
      <alignment/>
    </xf>
    <xf numFmtId="169" fontId="21" fillId="0" borderId="69" xfId="0" applyNumberFormat="1" applyFont="1" applyBorder="1" applyAlignment="1">
      <alignment/>
    </xf>
    <xf numFmtId="169" fontId="21" fillId="0" borderId="33" xfId="0" applyNumberFormat="1" applyFont="1" applyBorder="1" applyAlignment="1">
      <alignment/>
    </xf>
    <xf numFmtId="165" fontId="21" fillId="0" borderId="45" xfId="0" applyNumberFormat="1" applyFont="1" applyBorder="1" applyAlignment="1">
      <alignment/>
    </xf>
    <xf numFmtId="165" fontId="21" fillId="0" borderId="71" xfId="0" applyNumberFormat="1" applyFont="1" applyBorder="1" applyAlignment="1">
      <alignment/>
    </xf>
    <xf numFmtId="165" fontId="21" fillId="0" borderId="70" xfId="0" applyNumberFormat="1" applyFont="1" applyBorder="1" applyAlignment="1">
      <alignment/>
    </xf>
    <xf numFmtId="169" fontId="21" fillId="0" borderId="86" xfId="0" applyNumberFormat="1" applyFont="1" applyBorder="1" applyAlignment="1">
      <alignment/>
    </xf>
    <xf numFmtId="169" fontId="21" fillId="0" borderId="71" xfId="0" applyNumberFormat="1" applyFont="1" applyBorder="1" applyAlignment="1">
      <alignment/>
    </xf>
    <xf numFmtId="1" fontId="0" fillId="0" borderId="7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169" fontId="0" fillId="0" borderId="96" xfId="0" applyNumberFormat="1" applyFont="1" applyBorder="1" applyAlignment="1">
      <alignment/>
    </xf>
    <xf numFmtId="169" fontId="0" fillId="0" borderId="50" xfId="0" applyNumberFormat="1" applyFont="1" applyBorder="1" applyAlignment="1">
      <alignment/>
    </xf>
    <xf numFmtId="169" fontId="0" fillId="0" borderId="64" xfId="0" applyNumberFormat="1" applyFont="1" applyBorder="1" applyAlignment="1">
      <alignment/>
    </xf>
    <xf numFmtId="165" fontId="0" fillId="0" borderId="74" xfId="0" applyNumberFormat="1" applyFont="1" applyBorder="1" applyAlignment="1">
      <alignment/>
    </xf>
    <xf numFmtId="169" fontId="0" fillId="0" borderId="62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73" xfId="0" applyNumberFormat="1" applyFont="1" applyBorder="1" applyAlignment="1">
      <alignment/>
    </xf>
    <xf numFmtId="0" fontId="15" fillId="0" borderId="21" xfId="0" applyFont="1" applyBorder="1" applyAlignment="1">
      <alignment horizontal="left"/>
    </xf>
    <xf numFmtId="165" fontId="0" fillId="0" borderId="70" xfId="0" applyNumberFormat="1" applyFont="1" applyBorder="1" applyAlignment="1">
      <alignment/>
    </xf>
    <xf numFmtId="165" fontId="0" fillId="0" borderId="70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9" fillId="0" borderId="50" xfId="0" applyNumberFormat="1" applyFont="1" applyBorder="1" applyAlignment="1">
      <alignment/>
    </xf>
    <xf numFmtId="165" fontId="9" fillId="0" borderId="73" xfId="0" applyNumberFormat="1" applyFont="1" applyBorder="1" applyAlignment="1">
      <alignment/>
    </xf>
    <xf numFmtId="165" fontId="9" fillId="0" borderId="71" xfId="0" applyNumberFormat="1" applyFont="1" applyBorder="1" applyAlignment="1">
      <alignment/>
    </xf>
    <xf numFmtId="165" fontId="21" fillId="0" borderId="45" xfId="0" applyNumberFormat="1" applyFont="1" applyBorder="1" applyAlignment="1">
      <alignment/>
    </xf>
    <xf numFmtId="165" fontId="21" fillId="0" borderId="30" xfId="0" applyNumberFormat="1" applyFont="1" applyBorder="1" applyAlignment="1">
      <alignment/>
    </xf>
    <xf numFmtId="165" fontId="21" fillId="0" borderId="33" xfId="0" applyNumberFormat="1" applyFont="1" applyBorder="1" applyAlignment="1">
      <alignment/>
    </xf>
    <xf numFmtId="165" fontId="21" fillId="0" borderId="28" xfId="0" applyNumberFormat="1" applyFont="1" applyBorder="1" applyAlignment="1">
      <alignment/>
    </xf>
    <xf numFmtId="165" fontId="21" fillId="0" borderId="29" xfId="0" applyNumberFormat="1" applyFont="1" applyBorder="1" applyAlignment="1">
      <alignment/>
    </xf>
    <xf numFmtId="165" fontId="21" fillId="0" borderId="71" xfId="0" applyNumberFormat="1" applyFont="1" applyBorder="1" applyAlignment="1">
      <alignment/>
    </xf>
    <xf numFmtId="165" fontId="21" fillId="0" borderId="69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165" fontId="9" fillId="0" borderId="69" xfId="0" applyNumberFormat="1" applyFont="1" applyFill="1" applyBorder="1" applyAlignment="1">
      <alignment/>
    </xf>
    <xf numFmtId="165" fontId="21" fillId="0" borderId="69" xfId="0" applyNumberFormat="1" applyFont="1" applyBorder="1" applyAlignment="1">
      <alignment/>
    </xf>
    <xf numFmtId="164" fontId="21" fillId="0" borderId="62" xfId="0" applyNumberFormat="1" applyFont="1" applyBorder="1" applyAlignment="1">
      <alignment/>
    </xf>
    <xf numFmtId="164" fontId="21" fillId="0" borderId="30" xfId="0" applyNumberFormat="1" applyFont="1" applyBorder="1" applyAlignment="1">
      <alignment/>
    </xf>
    <xf numFmtId="164" fontId="21" fillId="0" borderId="29" xfId="0" applyNumberFormat="1" applyFont="1" applyBorder="1" applyAlignment="1">
      <alignment/>
    </xf>
    <xf numFmtId="169" fontId="21" fillId="0" borderId="30" xfId="0" applyNumberFormat="1" applyFont="1" applyBorder="1" applyAlignment="1">
      <alignment/>
    </xf>
    <xf numFmtId="169" fontId="21" fillId="0" borderId="29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61" xfId="0" applyNumberFormat="1" applyFont="1" applyBorder="1" applyAlignment="1">
      <alignment/>
    </xf>
    <xf numFmtId="165" fontId="16" fillId="0" borderId="47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51" xfId="0" applyNumberFormat="1" applyFont="1" applyBorder="1" applyAlignment="1">
      <alignment/>
    </xf>
    <xf numFmtId="165" fontId="1" fillId="0" borderId="5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67" xfId="0" applyNumberFormat="1" applyFont="1" applyBorder="1" applyAlignment="1">
      <alignment/>
    </xf>
    <xf numFmtId="165" fontId="0" fillId="0" borderId="91" xfId="0" applyNumberFormat="1" applyFont="1" applyBorder="1" applyAlignment="1">
      <alignment/>
    </xf>
    <xf numFmtId="165" fontId="0" fillId="0" borderId="76" xfId="0" applyNumberFormat="1" applyFont="1" applyBorder="1" applyAlignment="1">
      <alignment/>
    </xf>
    <xf numFmtId="165" fontId="9" fillId="0" borderId="76" xfId="0" applyNumberFormat="1" applyFont="1" applyBorder="1" applyAlignment="1">
      <alignment/>
    </xf>
    <xf numFmtId="165" fontId="21" fillId="0" borderId="78" xfId="0" applyNumberFormat="1" applyFont="1" applyBorder="1" applyAlignment="1">
      <alignment/>
    </xf>
    <xf numFmtId="165" fontId="21" fillId="0" borderId="91" xfId="0" applyNumberFormat="1" applyFont="1" applyBorder="1" applyAlignment="1">
      <alignment/>
    </xf>
    <xf numFmtId="165" fontId="9" fillId="0" borderId="91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21" fillId="0" borderId="77" xfId="0" applyNumberFormat="1" applyFont="1" applyBorder="1" applyAlignment="1">
      <alignment/>
    </xf>
    <xf numFmtId="165" fontId="21" fillId="0" borderId="76" xfId="0" applyNumberFormat="1" applyFont="1" applyBorder="1" applyAlignment="1">
      <alignment/>
    </xf>
    <xf numFmtId="0" fontId="8" fillId="0" borderId="21" xfId="0" applyFont="1" applyFill="1" applyBorder="1" applyAlignment="1">
      <alignment horizontal="center"/>
    </xf>
    <xf numFmtId="165" fontId="1" fillId="0" borderId="91" xfId="0" applyNumberFormat="1" applyFont="1" applyBorder="1" applyAlignment="1">
      <alignment/>
    </xf>
    <xf numFmtId="165" fontId="1" fillId="0" borderId="78" xfId="0" applyNumberFormat="1" applyFont="1" applyBorder="1" applyAlignment="1">
      <alignment/>
    </xf>
    <xf numFmtId="165" fontId="0" fillId="0" borderId="52" xfId="0" applyNumberFormat="1" applyFill="1" applyBorder="1" applyAlignment="1">
      <alignment/>
    </xf>
    <xf numFmtId="165" fontId="1" fillId="0" borderId="119" xfId="0" applyNumberFormat="1" applyFont="1" applyBorder="1" applyAlignment="1">
      <alignment/>
    </xf>
    <xf numFmtId="165" fontId="0" fillId="0" borderId="123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165" fontId="0" fillId="0" borderId="78" xfId="0" applyNumberFormat="1" applyFont="1" applyBorder="1" applyAlignment="1">
      <alignment/>
    </xf>
    <xf numFmtId="169" fontId="0" fillId="0" borderId="77" xfId="0" applyNumberFormat="1" applyFont="1" applyBorder="1" applyAlignment="1">
      <alignment/>
    </xf>
    <xf numFmtId="166" fontId="18" fillId="6" borderId="107" xfId="0" applyNumberFormat="1" applyFont="1" applyFill="1" applyBorder="1" applyAlignment="1">
      <alignment/>
    </xf>
    <xf numFmtId="166" fontId="18" fillId="6" borderId="107" xfId="0" applyNumberFormat="1" applyFont="1" applyFill="1" applyBorder="1" applyAlignment="1">
      <alignment/>
    </xf>
    <xf numFmtId="3" fontId="18" fillId="6" borderId="107" xfId="0" applyNumberFormat="1" applyFont="1" applyFill="1" applyBorder="1" applyAlignment="1">
      <alignment/>
    </xf>
    <xf numFmtId="166" fontId="19" fillId="6" borderId="126" xfId="0" applyNumberFormat="1" applyFont="1" applyFill="1" applyBorder="1" applyAlignment="1">
      <alignment/>
    </xf>
    <xf numFmtId="166" fontId="16" fillId="6" borderId="126" xfId="0" applyNumberFormat="1" applyFont="1" applyFill="1" applyBorder="1" applyAlignment="1">
      <alignment/>
    </xf>
    <xf numFmtId="3" fontId="16" fillId="6" borderId="126" xfId="0" applyNumberFormat="1" applyFont="1" applyFill="1" applyBorder="1" applyAlignment="1">
      <alignment/>
    </xf>
    <xf numFmtId="166" fontId="24" fillId="6" borderId="127" xfId="0" applyNumberFormat="1" applyFont="1" applyFill="1" applyBorder="1" applyAlignment="1">
      <alignment/>
    </xf>
    <xf numFmtId="169" fontId="0" fillId="0" borderId="51" xfId="0" applyNumberFormat="1" applyFont="1" applyBorder="1" applyAlignment="1">
      <alignment/>
    </xf>
    <xf numFmtId="166" fontId="1" fillId="0" borderId="5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9" fontId="0" fillId="0" borderId="43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64" fontId="16" fillId="0" borderId="44" xfId="0" applyNumberFormat="1" applyFont="1" applyBorder="1" applyAlignment="1">
      <alignment/>
    </xf>
    <xf numFmtId="165" fontId="1" fillId="0" borderId="128" xfId="0" applyNumberFormat="1" applyFont="1" applyBorder="1" applyAlignment="1">
      <alignment/>
    </xf>
    <xf numFmtId="165" fontId="1" fillId="0" borderId="123" xfId="0" applyNumberFormat="1" applyFont="1" applyBorder="1" applyAlignment="1">
      <alignment/>
    </xf>
    <xf numFmtId="165" fontId="1" fillId="0" borderId="129" xfId="0" applyNumberFormat="1" applyFont="1" applyBorder="1" applyAlignment="1">
      <alignment/>
    </xf>
    <xf numFmtId="165" fontId="1" fillId="0" borderId="120" xfId="0" applyNumberFormat="1" applyFont="1" applyBorder="1" applyAlignment="1">
      <alignment/>
    </xf>
    <xf numFmtId="165" fontId="1" fillId="0" borderId="121" xfId="0" applyNumberFormat="1" applyFont="1" applyBorder="1" applyAlignment="1">
      <alignment/>
    </xf>
    <xf numFmtId="165" fontId="1" fillId="0" borderId="122" xfId="0" applyNumberFormat="1" applyFont="1" applyBorder="1" applyAlignment="1">
      <alignment/>
    </xf>
    <xf numFmtId="169" fontId="1" fillId="0" borderId="124" xfId="0" applyNumberFormat="1" applyFont="1" applyBorder="1" applyAlignment="1">
      <alignment/>
    </xf>
    <xf numFmtId="169" fontId="1" fillId="0" borderId="123" xfId="0" applyNumberFormat="1" applyFont="1" applyBorder="1" applyAlignment="1">
      <alignment/>
    </xf>
    <xf numFmtId="169" fontId="1" fillId="0" borderId="121" xfId="0" applyNumberFormat="1" applyFont="1" applyBorder="1" applyAlignment="1">
      <alignment/>
    </xf>
    <xf numFmtId="169" fontId="21" fillId="0" borderId="91" xfId="0" applyNumberFormat="1" applyFont="1" applyBorder="1" applyAlignment="1">
      <alignment/>
    </xf>
    <xf numFmtId="169" fontId="21" fillId="0" borderId="97" xfId="0" applyNumberFormat="1" applyFont="1" applyBorder="1" applyAlignment="1">
      <alignment/>
    </xf>
    <xf numFmtId="165" fontId="21" fillId="0" borderId="122" xfId="0" applyNumberFormat="1" applyFont="1" applyBorder="1" applyAlignment="1">
      <alignment/>
    </xf>
    <xf numFmtId="165" fontId="21" fillId="0" borderId="123" xfId="0" applyNumberFormat="1" applyFont="1" applyBorder="1" applyAlignment="1">
      <alignment/>
    </xf>
    <xf numFmtId="165" fontId="21" fillId="0" borderId="129" xfId="0" applyNumberFormat="1" applyFont="1" applyBorder="1" applyAlignment="1">
      <alignment/>
    </xf>
    <xf numFmtId="165" fontId="21" fillId="0" borderId="12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0" fontId="5" fillId="0" borderId="130" xfId="0" applyFont="1" applyBorder="1" applyAlignment="1">
      <alignment horizontal="left"/>
    </xf>
    <xf numFmtId="165" fontId="0" fillId="5" borderId="109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3" fontId="1" fillId="0" borderId="81" xfId="0" applyNumberFormat="1" applyFont="1" applyBorder="1" applyAlignment="1">
      <alignment horizontal="right"/>
    </xf>
    <xf numFmtId="0" fontId="0" fillId="0" borderId="82" xfId="0" applyBorder="1" applyAlignment="1">
      <alignment/>
    </xf>
    <xf numFmtId="0" fontId="0" fillId="0" borderId="11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W124"/>
  <sheetViews>
    <sheetView workbookViewId="0" topLeftCell="A2">
      <pane xSplit="2" ySplit="13" topLeftCell="C15" activePane="bottomRight" state="frozen"/>
      <selection pane="topLeft" activeCell="AI28" sqref="AI28"/>
      <selection pane="topRight" activeCell="AI28" sqref="AI28"/>
      <selection pane="bottomLeft" activeCell="AI28" sqref="AI28"/>
      <selection pane="bottomRight" activeCell="E22" sqref="E22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hidden="1" customWidth="1"/>
    <col min="9" max="9" width="9.00390625" style="0" hidden="1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hidden="1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customWidth="1"/>
    <col min="25" max="25" width="9.00390625" style="0" customWidth="1"/>
    <col min="26" max="26" width="10.125" style="0" hidden="1" customWidth="1"/>
    <col min="27" max="27" width="9.00390625" style="0" hidden="1" customWidth="1"/>
    <col min="28" max="28" width="9.75390625" style="0" customWidth="1"/>
    <col min="29" max="29" width="10.75390625" style="0" hidden="1" customWidth="1"/>
    <col min="30" max="30" width="10.125" style="0" hidden="1" customWidth="1"/>
    <col min="32" max="32" width="7.875" style="0" customWidth="1"/>
    <col min="33" max="34" width="7.375" style="0" customWidth="1"/>
    <col min="35" max="35" width="7.875" style="0" customWidth="1"/>
  </cols>
  <sheetData>
    <row r="2" ht="12.75" hidden="1"/>
    <row r="3" ht="12.75" hidden="1"/>
    <row r="4" ht="18" hidden="1">
      <c r="AA4" s="113"/>
    </row>
    <row r="5" ht="12.75">
      <c r="L5" t="s">
        <v>52</v>
      </c>
    </row>
    <row r="6" spans="2:19" s="25" customFormat="1" ht="18">
      <c r="B6" s="127"/>
      <c r="D6" s="127"/>
      <c r="E6" s="127"/>
      <c r="F6" s="127"/>
      <c r="G6" s="127"/>
      <c r="H6" s="272"/>
      <c r="I6"/>
      <c r="J6" s="127" t="s">
        <v>232</v>
      </c>
      <c r="R6" s="128"/>
      <c r="S6" s="128"/>
    </row>
    <row r="7" spans="2:22" ht="18">
      <c r="B7" s="7"/>
      <c r="C7" s="6"/>
      <c r="D7" s="127"/>
      <c r="E7" s="127"/>
      <c r="F7" s="127"/>
      <c r="G7" s="127"/>
      <c r="H7" s="25"/>
      <c r="J7" s="127"/>
      <c r="K7" s="25"/>
      <c r="L7" s="128"/>
      <c r="M7" s="128"/>
      <c r="N7" s="128"/>
      <c r="O7" s="128"/>
      <c r="P7" s="128"/>
      <c r="Q7" s="128"/>
      <c r="R7" s="128"/>
      <c r="S7" s="128"/>
      <c r="T7" s="128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5" ht="12.75">
      <c r="A9" s="44"/>
      <c r="B9" s="26" t="s">
        <v>0</v>
      </c>
      <c r="C9" s="35" t="s">
        <v>1</v>
      </c>
      <c r="D9" s="14" t="s">
        <v>2</v>
      </c>
      <c r="E9" s="14"/>
      <c r="F9" s="14"/>
      <c r="G9" s="14"/>
      <c r="H9" s="14"/>
      <c r="I9" s="552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91" t="s">
        <v>66</v>
      </c>
      <c r="U9" s="192"/>
      <c r="V9" s="215"/>
      <c r="W9" s="234" t="s">
        <v>4</v>
      </c>
      <c r="X9" s="374" t="s">
        <v>171</v>
      </c>
      <c r="Y9" s="11"/>
      <c r="Z9" s="11"/>
      <c r="AA9" s="11"/>
      <c r="AB9" s="507" t="s">
        <v>110</v>
      </c>
      <c r="AC9" s="580"/>
      <c r="AD9" s="580"/>
      <c r="AE9" s="677" t="s">
        <v>107</v>
      </c>
      <c r="AF9" s="276"/>
      <c r="AG9" s="440"/>
      <c r="AH9" s="277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2.75">
      <c r="A10" s="5"/>
      <c r="B10" s="12"/>
      <c r="C10" s="36"/>
      <c r="D10" s="547" t="s">
        <v>133</v>
      </c>
      <c r="E10" s="548"/>
      <c r="F10" s="549"/>
      <c r="G10" s="549"/>
      <c r="H10" s="553"/>
      <c r="I10" s="554"/>
      <c r="J10" s="566"/>
      <c r="K10" s="613"/>
      <c r="L10" s="538"/>
      <c r="M10" s="538"/>
      <c r="N10" s="538"/>
      <c r="O10" s="539"/>
      <c r="P10" s="539"/>
      <c r="Q10" s="539"/>
      <c r="R10" s="539"/>
      <c r="S10" s="540"/>
      <c r="T10" s="541"/>
      <c r="U10" s="542"/>
      <c r="V10" s="543"/>
      <c r="W10" s="306"/>
      <c r="X10" s="541"/>
      <c r="Y10" s="544"/>
      <c r="Z10" s="544"/>
      <c r="AA10" s="544"/>
      <c r="AB10" s="568"/>
      <c r="AC10" s="545"/>
      <c r="AD10" s="427"/>
      <c r="AE10" s="427"/>
      <c r="AF10" s="84"/>
      <c r="AG10" s="84"/>
      <c r="AH10" s="546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5" t="s">
        <v>6</v>
      </c>
      <c r="B11" s="5"/>
      <c r="C11" s="15" t="s">
        <v>19</v>
      </c>
      <c r="D11" s="550" t="s">
        <v>134</v>
      </c>
      <c r="E11" s="551"/>
      <c r="F11" s="631"/>
      <c r="G11" s="1123" t="s">
        <v>157</v>
      </c>
      <c r="H11" s="1124"/>
      <c r="I11" s="1125"/>
      <c r="J11" s="648"/>
      <c r="K11" s="626" t="s">
        <v>154</v>
      </c>
      <c r="L11" s="610" t="s">
        <v>133</v>
      </c>
      <c r="M11" s="608"/>
      <c r="N11" s="609"/>
      <c r="O11" s="18" t="s">
        <v>9</v>
      </c>
      <c r="P11" s="209" t="s">
        <v>10</v>
      </c>
      <c r="Q11" s="565" t="s">
        <v>11</v>
      </c>
      <c r="R11" s="666" t="s">
        <v>11</v>
      </c>
      <c r="S11" s="167" t="s">
        <v>12</v>
      </c>
      <c r="T11" s="660" t="s">
        <v>65</v>
      </c>
      <c r="U11" s="194"/>
      <c r="V11" s="12" t="s">
        <v>64</v>
      </c>
      <c r="W11" s="306"/>
      <c r="X11" s="293" t="s">
        <v>103</v>
      </c>
      <c r="Y11" s="294" t="s">
        <v>4</v>
      </c>
      <c r="Z11" s="294" t="s">
        <v>103</v>
      </c>
      <c r="AA11" s="452" t="s">
        <v>91</v>
      </c>
      <c r="AB11" s="411" t="s">
        <v>111</v>
      </c>
      <c r="AC11" s="295" t="s">
        <v>142</v>
      </c>
      <c r="AD11" s="295" t="s">
        <v>142</v>
      </c>
      <c r="AE11" s="294" t="s">
        <v>160</v>
      </c>
      <c r="AF11" s="295" t="s">
        <v>20</v>
      </c>
      <c r="AG11" s="561" t="s">
        <v>129</v>
      </c>
      <c r="AH11" s="296" t="s">
        <v>92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5" t="s">
        <v>13</v>
      </c>
      <c r="B12" s="5"/>
      <c r="C12" s="29"/>
      <c r="D12" s="20" t="s">
        <v>14</v>
      </c>
      <c r="E12" s="557" t="s">
        <v>136</v>
      </c>
      <c r="F12" s="637" t="s">
        <v>92</v>
      </c>
      <c r="G12" s="652" t="s">
        <v>159</v>
      </c>
      <c r="H12" s="632" t="s">
        <v>135</v>
      </c>
      <c r="I12" s="633"/>
      <c r="J12" s="1"/>
      <c r="K12" s="626" t="s">
        <v>155</v>
      </c>
      <c r="L12" s="611"/>
      <c r="M12" s="612"/>
      <c r="N12" s="18"/>
      <c r="O12" s="31"/>
      <c r="P12" s="1" t="s">
        <v>17</v>
      </c>
      <c r="Q12" s="1" t="s">
        <v>18</v>
      </c>
      <c r="R12" s="23" t="s">
        <v>50</v>
      </c>
      <c r="S12" s="168" t="s">
        <v>48</v>
      </c>
      <c r="T12" s="661" t="s">
        <v>19</v>
      </c>
      <c r="U12" s="134" t="s">
        <v>5</v>
      </c>
      <c r="V12" s="15" t="s">
        <v>27</v>
      </c>
      <c r="W12" s="306"/>
      <c r="X12" s="297" t="s">
        <v>104</v>
      </c>
      <c r="Y12" s="298" t="s">
        <v>94</v>
      </c>
      <c r="Z12" s="298" t="s">
        <v>104</v>
      </c>
      <c r="AA12" s="453" t="s">
        <v>93</v>
      </c>
      <c r="AB12" s="412" t="s">
        <v>114</v>
      </c>
      <c r="AC12" s="299" t="s">
        <v>143</v>
      </c>
      <c r="AD12" s="298" t="s">
        <v>146</v>
      </c>
      <c r="AE12" s="298" t="s">
        <v>161</v>
      </c>
      <c r="AF12" s="299" t="s">
        <v>88</v>
      </c>
      <c r="AG12" s="562" t="s">
        <v>149</v>
      </c>
      <c r="AH12" s="300" t="s">
        <v>95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5" t="s">
        <v>21</v>
      </c>
      <c r="B13" s="12" t="s">
        <v>22</v>
      </c>
      <c r="C13" s="555"/>
      <c r="D13" s="20" t="s">
        <v>23</v>
      </c>
      <c r="E13" s="558" t="s">
        <v>137</v>
      </c>
      <c r="F13" s="638" t="s">
        <v>95</v>
      </c>
      <c r="G13" s="653" t="s">
        <v>136</v>
      </c>
      <c r="H13" s="634" t="s">
        <v>19</v>
      </c>
      <c r="I13" s="635" t="s">
        <v>7</v>
      </c>
      <c r="J13" s="649" t="s">
        <v>19</v>
      </c>
      <c r="K13" s="627" t="s">
        <v>19</v>
      </c>
      <c r="L13" s="16" t="s">
        <v>24</v>
      </c>
      <c r="M13" s="30"/>
      <c r="N13" s="30" t="s">
        <v>25</v>
      </c>
      <c r="O13" s="39"/>
      <c r="P13" s="23"/>
      <c r="Q13" s="1" t="s">
        <v>26</v>
      </c>
      <c r="R13" s="23" t="s">
        <v>49</v>
      </c>
      <c r="S13" s="168" t="s">
        <v>27</v>
      </c>
      <c r="T13" s="649" t="s">
        <v>28</v>
      </c>
      <c r="U13" s="134" t="s">
        <v>23</v>
      </c>
      <c r="V13" s="15" t="s">
        <v>49</v>
      </c>
      <c r="W13" s="306" t="s">
        <v>19</v>
      </c>
      <c r="X13" s="297" t="s">
        <v>105</v>
      </c>
      <c r="Y13" s="298" t="s">
        <v>97</v>
      </c>
      <c r="Z13" s="298" t="s">
        <v>108</v>
      </c>
      <c r="AA13" s="453" t="s">
        <v>96</v>
      </c>
      <c r="AB13" s="412" t="s">
        <v>141</v>
      </c>
      <c r="AC13" s="299" t="s">
        <v>144</v>
      </c>
      <c r="AD13" s="298" t="s">
        <v>147</v>
      </c>
      <c r="AE13" s="298" t="s">
        <v>162</v>
      </c>
      <c r="AF13" s="299" t="s">
        <v>34</v>
      </c>
      <c r="AG13" s="562" t="s">
        <v>172</v>
      </c>
      <c r="AH13" s="300" t="s">
        <v>165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9" ht="13.5" thickBot="1">
      <c r="A14" s="45" t="s">
        <v>30</v>
      </c>
      <c r="B14" s="27" t="s">
        <v>31</v>
      </c>
      <c r="C14" s="41"/>
      <c r="D14" s="21" t="s">
        <v>32</v>
      </c>
      <c r="E14" s="559"/>
      <c r="F14" s="638" t="s">
        <v>128</v>
      </c>
      <c r="G14" s="653" t="s">
        <v>158</v>
      </c>
      <c r="H14" s="636"/>
      <c r="I14" s="654" t="s">
        <v>33</v>
      </c>
      <c r="J14" s="650"/>
      <c r="K14" s="208"/>
      <c r="L14" s="19"/>
      <c r="M14" s="19"/>
      <c r="N14" s="210"/>
      <c r="O14" s="22"/>
      <c r="P14" s="19"/>
      <c r="Q14" s="3"/>
      <c r="R14" s="667" t="s">
        <v>28</v>
      </c>
      <c r="S14" s="170"/>
      <c r="T14" s="650"/>
      <c r="U14" s="135" t="s">
        <v>27</v>
      </c>
      <c r="V14" s="41" t="s">
        <v>28</v>
      </c>
      <c r="W14" s="307"/>
      <c r="X14" s="421" t="s">
        <v>106</v>
      </c>
      <c r="Y14" s="302" t="s">
        <v>100</v>
      </c>
      <c r="Z14" s="420" t="s">
        <v>106</v>
      </c>
      <c r="AA14" s="454" t="s">
        <v>99</v>
      </c>
      <c r="AB14" s="423" t="s">
        <v>140</v>
      </c>
      <c r="AC14" s="302" t="s">
        <v>145</v>
      </c>
      <c r="AD14" s="422" t="s">
        <v>148</v>
      </c>
      <c r="AE14" s="301"/>
      <c r="AF14" s="301"/>
      <c r="AG14" s="564" t="s">
        <v>19</v>
      </c>
      <c r="AH14" s="303" t="s">
        <v>166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2.75">
      <c r="A15" s="5"/>
      <c r="B15" s="115" t="s">
        <v>187</v>
      </c>
      <c r="C15" s="222">
        <f>D15+E15+F15+G15</f>
        <v>944252</v>
      </c>
      <c r="D15" s="417">
        <v>493667</v>
      </c>
      <c r="E15" s="560">
        <v>190851</v>
      </c>
      <c r="F15" s="639">
        <v>94229</v>
      </c>
      <c r="G15" s="679">
        <v>165505</v>
      </c>
      <c r="H15" s="426">
        <v>0</v>
      </c>
      <c r="I15" s="416">
        <v>0</v>
      </c>
      <c r="J15" s="416">
        <f>K15+O15+P15+Q15+R15+S15</f>
        <v>2415413</v>
      </c>
      <c r="K15" s="417">
        <f>L15+N15</f>
        <v>662911</v>
      </c>
      <c r="L15" s="425">
        <v>644183</v>
      </c>
      <c r="M15" s="426"/>
      <c r="N15" s="426">
        <v>18728</v>
      </c>
      <c r="O15" s="426">
        <v>225390</v>
      </c>
      <c r="P15" s="425">
        <v>12884</v>
      </c>
      <c r="Q15" s="426"/>
      <c r="R15" s="560">
        <v>841118</v>
      </c>
      <c r="S15" s="658">
        <v>673110</v>
      </c>
      <c r="T15" s="426">
        <f>S15+U15</f>
        <v>1851818</v>
      </c>
      <c r="U15" s="427">
        <v>1178708</v>
      </c>
      <c r="V15" s="428">
        <v>0</v>
      </c>
      <c r="W15" s="418">
        <f>U15+J15</f>
        <v>3594121</v>
      </c>
      <c r="X15" s="417">
        <v>902805</v>
      </c>
      <c r="Y15" s="425">
        <v>2691316</v>
      </c>
      <c r="Z15" s="305"/>
      <c r="AA15" s="375"/>
      <c r="AB15" s="455">
        <v>644183</v>
      </c>
      <c r="AC15" s="305"/>
      <c r="AD15" s="305"/>
      <c r="AE15" s="305">
        <v>3000</v>
      </c>
      <c r="AF15" s="305">
        <v>730</v>
      </c>
      <c r="AG15" s="305">
        <v>224474</v>
      </c>
      <c r="AH15" s="326">
        <v>101065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57" customFormat="1" ht="12.75">
      <c r="A16" s="47"/>
      <c r="B16" s="415" t="s">
        <v>124</v>
      </c>
      <c r="C16" s="126"/>
      <c r="D16" s="125"/>
      <c r="E16" s="122"/>
      <c r="F16" s="640"/>
      <c r="G16" s="125"/>
      <c r="H16" s="122"/>
      <c r="I16" s="124"/>
      <c r="J16" s="124">
        <f>K16+O16+P16+Q16+R16+S16</f>
        <v>185301</v>
      </c>
      <c r="K16" s="125"/>
      <c r="L16" s="123"/>
      <c r="M16" s="122"/>
      <c r="N16" s="122"/>
      <c r="O16" s="122"/>
      <c r="P16" s="123"/>
      <c r="Q16" s="122"/>
      <c r="R16" s="123">
        <v>110021</v>
      </c>
      <c r="S16" s="659">
        <f>75280</f>
        <v>75280</v>
      </c>
      <c r="T16" s="122">
        <f>S16+U16</f>
        <v>100638</v>
      </c>
      <c r="U16" s="656">
        <v>25358</v>
      </c>
      <c r="V16" s="366"/>
      <c r="W16" s="314">
        <f>U16+J16</f>
        <v>210659</v>
      </c>
      <c r="X16" s="419">
        <f>210659</f>
        <v>210659</v>
      </c>
      <c r="Y16" s="81"/>
      <c r="Z16" s="83"/>
      <c r="AA16" s="376"/>
      <c r="AB16" s="83"/>
      <c r="AC16" s="81"/>
      <c r="AD16" s="81"/>
      <c r="AE16" s="81"/>
      <c r="AF16" s="81"/>
      <c r="AG16" s="81"/>
      <c r="AH16" s="30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</row>
    <row r="17" spans="1:49" ht="12.75">
      <c r="A17" s="5"/>
      <c r="B17" s="133" t="s">
        <v>35</v>
      </c>
      <c r="C17" s="222"/>
      <c r="D17" s="223"/>
      <c r="E17" s="226"/>
      <c r="F17" s="227"/>
      <c r="G17" s="223"/>
      <c r="H17" s="224"/>
      <c r="I17" s="225"/>
      <c r="J17" s="275"/>
      <c r="K17" s="274"/>
      <c r="L17" s="224"/>
      <c r="M17" s="226"/>
      <c r="N17" s="226"/>
      <c r="O17" s="226"/>
      <c r="P17" s="224"/>
      <c r="Q17" s="226"/>
      <c r="R17" s="816"/>
      <c r="S17" s="817"/>
      <c r="T17" s="657">
        <f aca="true" t="shared" si="0" ref="T17:T28">S17+U17</f>
        <v>0</v>
      </c>
      <c r="U17" s="807"/>
      <c r="V17" s="228"/>
      <c r="W17" s="315">
        <f>U17+J17</f>
        <v>0</v>
      </c>
      <c r="X17" s="441"/>
      <c r="Y17" s="816"/>
      <c r="Z17" s="614"/>
      <c r="AA17" s="475"/>
      <c r="AB17" s="456"/>
      <c r="AC17" s="305"/>
      <c r="AD17" s="305"/>
      <c r="AE17" s="305"/>
      <c r="AF17" s="305"/>
      <c r="AG17" s="305"/>
      <c r="AH17" s="326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2.75">
      <c r="A18" s="820">
        <v>1</v>
      </c>
      <c r="B18" s="821" t="s">
        <v>185</v>
      </c>
      <c r="C18" s="109">
        <f>D18+H18</f>
        <v>0</v>
      </c>
      <c r="D18" s="823"/>
      <c r="E18" s="824"/>
      <c r="F18" s="825"/>
      <c r="G18" s="823"/>
      <c r="H18" s="826"/>
      <c r="I18" s="827"/>
      <c r="J18" s="828">
        <f aca="true" t="shared" si="1" ref="J18:J41">K18+O18+P18+Q18+R18+S18</f>
        <v>-103593</v>
      </c>
      <c r="K18" s="829">
        <f>L18+N18</f>
        <v>0</v>
      </c>
      <c r="L18" s="826"/>
      <c r="M18" s="824"/>
      <c r="N18" s="824"/>
      <c r="O18" s="824"/>
      <c r="P18" s="826"/>
      <c r="Q18" s="824"/>
      <c r="R18" s="830">
        <v>-61481</v>
      </c>
      <c r="S18" s="831">
        <v>-42112</v>
      </c>
      <c r="T18" s="832">
        <f t="shared" si="0"/>
        <v>-101373</v>
      </c>
      <c r="U18" s="827">
        <v>-59261</v>
      </c>
      <c r="V18" s="833"/>
      <c r="W18" s="834">
        <f>U18+J18</f>
        <v>-162854</v>
      </c>
      <c r="X18" s="823">
        <v>-68865</v>
      </c>
      <c r="Y18" s="830">
        <v>-93989</v>
      </c>
      <c r="Z18" s="835"/>
      <c r="AA18" s="836"/>
      <c r="AB18" s="824"/>
      <c r="AC18" s="837"/>
      <c r="AD18" s="837"/>
      <c r="AE18" s="837"/>
      <c r="AF18" s="818"/>
      <c r="AG18" s="818"/>
      <c r="AH18" s="819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2.75">
      <c r="A19" s="97">
        <v>3</v>
      </c>
      <c r="B19" s="164" t="s">
        <v>184</v>
      </c>
      <c r="C19" s="109">
        <f>D19+H19</f>
        <v>0</v>
      </c>
      <c r="D19" s="243"/>
      <c r="E19" s="429"/>
      <c r="F19" s="238"/>
      <c r="G19" s="243"/>
      <c r="H19" s="247"/>
      <c r="I19" s="246"/>
      <c r="J19" s="248">
        <f t="shared" si="1"/>
        <v>1129</v>
      </c>
      <c r="K19" s="237">
        <f>L19+N19</f>
        <v>0</v>
      </c>
      <c r="L19" s="282"/>
      <c r="M19" s="368"/>
      <c r="N19" s="481"/>
      <c r="O19" s="368"/>
      <c r="P19" s="282"/>
      <c r="Q19" s="368"/>
      <c r="R19" s="668">
        <v>1129</v>
      </c>
      <c r="S19" s="578"/>
      <c r="T19" s="662">
        <f t="shared" si="0"/>
        <v>0</v>
      </c>
      <c r="U19" s="246"/>
      <c r="V19" s="242"/>
      <c r="W19" s="291">
        <f>U19+J19</f>
        <v>1129</v>
      </c>
      <c r="X19" s="442"/>
      <c r="Y19" s="449">
        <v>1129</v>
      </c>
      <c r="Z19" s="682"/>
      <c r="AA19" s="477"/>
      <c r="AB19" s="457"/>
      <c r="AC19" s="247"/>
      <c r="AD19" s="247"/>
      <c r="AE19" s="247"/>
      <c r="AF19" s="327"/>
      <c r="AG19" s="327"/>
      <c r="AH19" s="240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230" customFormat="1" ht="12.75">
      <c r="A20" s="221">
        <v>3</v>
      </c>
      <c r="B20" s="164" t="s">
        <v>176</v>
      </c>
      <c r="C20" s="109">
        <f>D20+H20</f>
        <v>0</v>
      </c>
      <c r="D20" s="254"/>
      <c r="E20" s="430"/>
      <c r="F20" s="641"/>
      <c r="G20" s="254"/>
      <c r="H20" s="255"/>
      <c r="I20" s="253"/>
      <c r="J20" s="256">
        <f t="shared" si="1"/>
        <v>207551</v>
      </c>
      <c r="K20" s="257">
        <f aca="true" t="shared" si="2" ref="K20:K28">L20+N20</f>
        <v>0</v>
      </c>
      <c r="L20" s="258"/>
      <c r="M20" s="258"/>
      <c r="N20" s="483"/>
      <c r="O20" s="258"/>
      <c r="P20" s="258"/>
      <c r="Q20" s="258"/>
      <c r="R20" s="261"/>
      <c r="S20" s="578">
        <v>207551</v>
      </c>
      <c r="T20" s="663">
        <f t="shared" si="0"/>
        <v>207551</v>
      </c>
      <c r="U20" s="238"/>
      <c r="V20" s="260"/>
      <c r="W20" s="291">
        <f aca="true" t="shared" si="3" ref="W20:W28">U20+J20</f>
        <v>207551</v>
      </c>
      <c r="X20" s="445"/>
      <c r="Y20" s="449">
        <v>207551</v>
      </c>
      <c r="Z20" s="683"/>
      <c r="AA20" s="478"/>
      <c r="AB20" s="258"/>
      <c r="AC20" s="255"/>
      <c r="AD20" s="329"/>
      <c r="AE20" s="329"/>
      <c r="AF20" s="330"/>
      <c r="AG20" s="330"/>
      <c r="AH20" s="331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</row>
    <row r="21" spans="1:49" s="722" customFormat="1" ht="12.75">
      <c r="A21" s="221">
        <v>3</v>
      </c>
      <c r="B21" s="164" t="s">
        <v>178</v>
      </c>
      <c r="C21" s="109">
        <f aca="true" t="shared" si="4" ref="C21:C26">D21+H21</f>
        <v>0</v>
      </c>
      <c r="D21" s="747"/>
      <c r="E21" s="748"/>
      <c r="F21" s="749"/>
      <c r="G21" s="747"/>
      <c r="H21" s="712"/>
      <c r="I21" s="746"/>
      <c r="J21" s="803">
        <f t="shared" si="1"/>
        <v>-394</v>
      </c>
      <c r="K21" s="446">
        <f t="shared" si="2"/>
        <v>0</v>
      </c>
      <c r="L21" s="450"/>
      <c r="M21" s="450"/>
      <c r="N21" s="794"/>
      <c r="O21" s="450"/>
      <c r="P21" s="450"/>
      <c r="Q21" s="450"/>
      <c r="R21" s="447"/>
      <c r="S21" s="795">
        <v>-394</v>
      </c>
      <c r="T21" s="789">
        <f t="shared" si="0"/>
        <v>-394</v>
      </c>
      <c r="U21" s="790"/>
      <c r="V21" s="796"/>
      <c r="W21" s="791">
        <f t="shared" si="3"/>
        <v>-394</v>
      </c>
      <c r="X21" s="443"/>
      <c r="Y21" s="476">
        <v>-394</v>
      </c>
      <c r="Z21" s="682"/>
      <c r="AA21" s="477"/>
      <c r="AB21" s="797"/>
      <c r="AC21" s="712"/>
      <c r="AD21" s="751"/>
      <c r="AE21" s="751"/>
      <c r="AF21" s="718"/>
      <c r="AG21" s="718"/>
      <c r="AH21" s="752"/>
      <c r="AJ21" s="721"/>
      <c r="AK21" s="721"/>
      <c r="AL21" s="721"/>
      <c r="AM21" s="721"/>
      <c r="AN21" s="721"/>
      <c r="AO21" s="721"/>
      <c r="AP21" s="721"/>
      <c r="AQ21" s="721"/>
      <c r="AR21" s="721"/>
      <c r="AS21" s="721"/>
      <c r="AT21" s="721"/>
      <c r="AU21" s="721"/>
      <c r="AV21" s="721"/>
      <c r="AW21" s="721"/>
    </row>
    <row r="22" spans="1:45" ht="12.75">
      <c r="A22" s="221">
        <v>3</v>
      </c>
      <c r="B22" s="164" t="s">
        <v>179</v>
      </c>
      <c r="C22" s="109">
        <f t="shared" si="4"/>
        <v>0</v>
      </c>
      <c r="D22" s="245"/>
      <c r="E22" s="431"/>
      <c r="F22" s="642"/>
      <c r="G22" s="245"/>
      <c r="H22" s="249"/>
      <c r="I22" s="251"/>
      <c r="J22" s="803">
        <f t="shared" si="1"/>
        <v>750</v>
      </c>
      <c r="K22" s="446">
        <f t="shared" si="2"/>
        <v>0</v>
      </c>
      <c r="L22" s="444"/>
      <c r="M22" s="444"/>
      <c r="N22" s="794"/>
      <c r="O22" s="249"/>
      <c r="P22" s="249"/>
      <c r="Q22" s="249"/>
      <c r="R22" s="522">
        <v>750</v>
      </c>
      <c r="S22" s="578"/>
      <c r="T22" s="622">
        <f t="shared" si="0"/>
        <v>0</v>
      </c>
      <c r="U22" s="240"/>
      <c r="V22" s="242"/>
      <c r="W22" s="291">
        <f t="shared" si="3"/>
        <v>750</v>
      </c>
      <c r="X22" s="443"/>
      <c r="Y22" s="449">
        <v>750</v>
      </c>
      <c r="Z22" s="682"/>
      <c r="AA22" s="477"/>
      <c r="AB22" s="258"/>
      <c r="AC22" s="249"/>
      <c r="AD22" s="247"/>
      <c r="AE22" s="247"/>
      <c r="AF22" s="327"/>
      <c r="AG22" s="327"/>
      <c r="AH22" s="328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722" customFormat="1" ht="12.75">
      <c r="A23" s="221">
        <v>3</v>
      </c>
      <c r="B23" s="164" t="s">
        <v>180</v>
      </c>
      <c r="C23" s="109">
        <f t="shared" si="4"/>
        <v>0</v>
      </c>
      <c r="D23" s="710"/>
      <c r="E23" s="710"/>
      <c r="F23" s="711"/>
      <c r="G23" s="688"/>
      <c r="H23" s="685"/>
      <c r="I23" s="709"/>
      <c r="J23" s="803">
        <f>K23+O23+P23+Q23+R23+S23</f>
        <v>1501</v>
      </c>
      <c r="K23" s="446">
        <f t="shared" si="2"/>
        <v>0</v>
      </c>
      <c r="L23" s="444"/>
      <c r="M23" s="450"/>
      <c r="N23" s="444"/>
      <c r="O23" s="712"/>
      <c r="P23" s="712"/>
      <c r="Q23" s="712"/>
      <c r="R23" s="685"/>
      <c r="S23" s="795">
        <v>1501</v>
      </c>
      <c r="T23" s="523">
        <f t="shared" si="0"/>
        <v>1501</v>
      </c>
      <c r="U23" s="790"/>
      <c r="V23" s="799"/>
      <c r="W23" s="791">
        <f t="shared" si="3"/>
        <v>1501</v>
      </c>
      <c r="X23" s="446"/>
      <c r="Y23" s="449">
        <v>1501</v>
      </c>
      <c r="Z23" s="710"/>
      <c r="AA23" s="716"/>
      <c r="AB23" s="717"/>
      <c r="AC23" s="685"/>
      <c r="AD23" s="685"/>
      <c r="AE23" s="685"/>
      <c r="AF23" s="718"/>
      <c r="AG23" s="718"/>
      <c r="AH23" s="720"/>
      <c r="AJ23" s="721"/>
      <c r="AK23" s="721"/>
      <c r="AL23" s="721"/>
      <c r="AM23" s="721"/>
      <c r="AN23" s="721"/>
      <c r="AO23" s="721"/>
      <c r="AP23" s="721"/>
      <c r="AQ23" s="721"/>
      <c r="AR23" s="721"/>
      <c r="AS23" s="721"/>
    </row>
    <row r="24" spans="1:45" ht="12.75">
      <c r="A24" s="221">
        <v>3</v>
      </c>
      <c r="B24" s="164" t="s">
        <v>180</v>
      </c>
      <c r="C24" s="109">
        <f t="shared" si="4"/>
        <v>0</v>
      </c>
      <c r="D24" s="68"/>
      <c r="E24" s="68"/>
      <c r="F24" s="74"/>
      <c r="G24" s="66"/>
      <c r="H24" s="67"/>
      <c r="I24" s="65"/>
      <c r="J24" s="803">
        <f>K24+O24+P24+Q24+R24+S24</f>
        <v>0</v>
      </c>
      <c r="K24" s="446">
        <f t="shared" si="2"/>
        <v>0</v>
      </c>
      <c r="L24" s="444"/>
      <c r="M24" s="450"/>
      <c r="N24" s="444"/>
      <c r="O24" s="249"/>
      <c r="P24" s="249"/>
      <c r="Q24" s="249"/>
      <c r="R24" s="249"/>
      <c r="S24" s="795"/>
      <c r="T24" s="682">
        <f t="shared" si="0"/>
        <v>0</v>
      </c>
      <c r="U24" s="511"/>
      <c r="V24" s="799"/>
      <c r="W24" s="791">
        <f t="shared" si="3"/>
        <v>0</v>
      </c>
      <c r="X24" s="446"/>
      <c r="Y24" s="449"/>
      <c r="Z24" s="684"/>
      <c r="AA24" s="477"/>
      <c r="AB24" s="457"/>
      <c r="AC24" s="67"/>
      <c r="AD24" s="67"/>
      <c r="AE24" s="67"/>
      <c r="AF24" s="284"/>
      <c r="AG24" s="284"/>
      <c r="AH24" s="172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s="722" customFormat="1" ht="12.75">
      <c r="A25" s="221">
        <v>3</v>
      </c>
      <c r="B25" s="164" t="s">
        <v>182</v>
      </c>
      <c r="C25" s="109">
        <f t="shared" si="4"/>
        <v>0</v>
      </c>
      <c r="D25" s="710"/>
      <c r="E25" s="710"/>
      <c r="F25" s="711"/>
      <c r="G25" s="688"/>
      <c r="H25" s="685"/>
      <c r="I25" s="709"/>
      <c r="J25" s="803">
        <f>K25+O25+P25+Q25+R25+S25</f>
        <v>3000</v>
      </c>
      <c r="K25" s="446">
        <f t="shared" si="2"/>
        <v>2028</v>
      </c>
      <c r="L25" s="450">
        <v>1866</v>
      </c>
      <c r="M25" s="450"/>
      <c r="N25" s="450">
        <v>162</v>
      </c>
      <c r="O25" s="450">
        <v>634</v>
      </c>
      <c r="P25" s="450">
        <v>38</v>
      </c>
      <c r="Q25" s="450"/>
      <c r="R25" s="447">
        <v>300</v>
      </c>
      <c r="S25" s="795"/>
      <c r="T25" s="682">
        <f t="shared" si="0"/>
        <v>0</v>
      </c>
      <c r="U25" s="511"/>
      <c r="V25" s="799"/>
      <c r="W25" s="791">
        <f t="shared" si="3"/>
        <v>3000</v>
      </c>
      <c r="X25" s="446"/>
      <c r="Y25" s="449">
        <v>3000</v>
      </c>
      <c r="Z25" s="447"/>
      <c r="AA25" s="477"/>
      <c r="AB25" s="458">
        <v>1866</v>
      </c>
      <c r="AC25" s="447"/>
      <c r="AD25" s="447"/>
      <c r="AE25" s="447"/>
      <c r="AF25" s="577"/>
      <c r="AG25" s="577">
        <v>3000</v>
      </c>
      <c r="AH25" s="720"/>
      <c r="AJ25" s="721"/>
      <c r="AK25" s="721"/>
      <c r="AL25" s="721"/>
      <c r="AM25" s="721"/>
      <c r="AN25" s="721"/>
      <c r="AO25" s="721"/>
      <c r="AP25" s="721"/>
      <c r="AQ25" s="721"/>
      <c r="AR25" s="721"/>
      <c r="AS25" s="721"/>
    </row>
    <row r="26" spans="1:45" ht="13.5" thickBot="1">
      <c r="A26" s="802">
        <v>1</v>
      </c>
      <c r="B26" s="804" t="s">
        <v>183</v>
      </c>
      <c r="C26" s="109">
        <f t="shared" si="4"/>
        <v>0</v>
      </c>
      <c r="D26" s="100"/>
      <c r="E26" s="310"/>
      <c r="F26" s="174"/>
      <c r="G26" s="66"/>
      <c r="H26" s="67"/>
      <c r="I26" s="64"/>
      <c r="J26" s="362">
        <f t="shared" si="1"/>
        <v>-11813</v>
      </c>
      <c r="K26" s="688">
        <f t="shared" si="2"/>
        <v>0</v>
      </c>
      <c r="L26" s="713"/>
      <c r="M26" s="685"/>
      <c r="N26" s="723"/>
      <c r="O26" s="713"/>
      <c r="P26" s="713"/>
      <c r="Q26" s="713"/>
      <c r="R26" s="685"/>
      <c r="S26" s="686">
        <v>-11813</v>
      </c>
      <c r="T26" s="715">
        <f t="shared" si="0"/>
        <v>0</v>
      </c>
      <c r="U26" s="686">
        <v>11813</v>
      </c>
      <c r="V26" s="750"/>
      <c r="W26" s="687">
        <f t="shared" si="3"/>
        <v>0</v>
      </c>
      <c r="X26" s="446"/>
      <c r="Y26" s="449"/>
      <c r="Z26" s="447"/>
      <c r="AA26" s="477"/>
      <c r="AB26" s="458"/>
      <c r="AC26" s="67"/>
      <c r="AD26" s="67"/>
      <c r="AE26" s="67"/>
      <c r="AF26" s="284"/>
      <c r="AG26" s="284"/>
      <c r="AH26" s="172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2.75" hidden="1">
      <c r="A27" s="129"/>
      <c r="B27" s="164"/>
      <c r="C27" s="695"/>
      <c r="D27" s="154"/>
      <c r="E27" s="153"/>
      <c r="F27" s="336"/>
      <c r="G27" s="154"/>
      <c r="H27" s="153"/>
      <c r="I27" s="132"/>
      <c r="J27" s="65">
        <f t="shared" si="1"/>
        <v>0</v>
      </c>
      <c r="K27" s="258">
        <f t="shared" si="2"/>
        <v>0</v>
      </c>
      <c r="L27" s="258"/>
      <c r="M27" s="258"/>
      <c r="N27" s="258"/>
      <c r="O27" s="258"/>
      <c r="P27" s="258"/>
      <c r="Q27" s="153"/>
      <c r="R27" s="281"/>
      <c r="S27" s="800"/>
      <c r="T27" s="523">
        <f t="shared" si="0"/>
        <v>0</v>
      </c>
      <c r="U27" s="800"/>
      <c r="V27" s="801"/>
      <c r="W27" s="796">
        <f t="shared" si="3"/>
        <v>0</v>
      </c>
      <c r="X27" s="690"/>
      <c r="Y27" s="449"/>
      <c r="Z27" s="692"/>
      <c r="AA27" s="693"/>
      <c r="AB27" s="694"/>
      <c r="AC27" s="153"/>
      <c r="AD27" s="153"/>
      <c r="AE27" s="153"/>
      <c r="AF27" s="153"/>
      <c r="AG27" s="153"/>
      <c r="AH27" s="336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s="722" customFormat="1" ht="13.5" hidden="1" thickBot="1">
      <c r="A28" s="689"/>
      <c r="B28" s="724"/>
      <c r="C28" s="725"/>
      <c r="D28" s="726"/>
      <c r="E28" s="727"/>
      <c r="F28" s="728"/>
      <c r="G28" s="726"/>
      <c r="H28" s="727"/>
      <c r="I28" s="729"/>
      <c r="J28" s="691">
        <f t="shared" si="1"/>
        <v>0</v>
      </c>
      <c r="K28" s="730">
        <f t="shared" si="2"/>
        <v>0</v>
      </c>
      <c r="L28" s="731"/>
      <c r="M28" s="731"/>
      <c r="N28" s="732"/>
      <c r="O28" s="733"/>
      <c r="P28" s="731"/>
      <c r="Q28" s="734"/>
      <c r="R28" s="735"/>
      <c r="S28" s="736"/>
      <c r="T28" s="737">
        <f t="shared" si="0"/>
        <v>0</v>
      </c>
      <c r="U28" s="738"/>
      <c r="V28" s="739"/>
      <c r="W28" s="740">
        <f t="shared" si="3"/>
        <v>0</v>
      </c>
      <c r="X28" s="741"/>
      <c r="Y28" s="742"/>
      <c r="Z28" s="743"/>
      <c r="AA28" s="744"/>
      <c r="AB28" s="745"/>
      <c r="AC28" s="727"/>
      <c r="AD28" s="727"/>
      <c r="AE28" s="727"/>
      <c r="AF28" s="727"/>
      <c r="AG28" s="727"/>
      <c r="AH28" s="728"/>
      <c r="AJ28" s="721"/>
      <c r="AK28" s="721"/>
      <c r="AL28" s="721"/>
      <c r="AM28" s="721"/>
      <c r="AN28" s="721"/>
      <c r="AO28" s="721"/>
      <c r="AP28" s="721"/>
      <c r="AQ28" s="721"/>
      <c r="AR28" s="721"/>
      <c r="AS28" s="721"/>
    </row>
    <row r="29" spans="1:45" ht="17.25" customHeight="1" thickBot="1">
      <c r="A29" s="157"/>
      <c r="B29" s="34" t="s">
        <v>36</v>
      </c>
      <c r="C29" s="90">
        <f>D29+H29</f>
        <v>0</v>
      </c>
      <c r="D29" s="197">
        <f>SUM(D19:D27)</f>
        <v>0</v>
      </c>
      <c r="E29" s="140">
        <f>SUM(E19:E27)</f>
        <v>0</v>
      </c>
      <c r="F29" s="337">
        <f>SUM(F19:F27)</f>
        <v>0</v>
      </c>
      <c r="G29" s="197"/>
      <c r="H29" s="140">
        <f>SUM(H19:H27)</f>
        <v>0</v>
      </c>
      <c r="I29" s="90">
        <f>SUM(I19:I27)</f>
        <v>0</v>
      </c>
      <c r="J29" s="90">
        <f>K29+O29+P29+Q29+R29+S29</f>
        <v>201724</v>
      </c>
      <c r="K29" s="91">
        <f>SUM(K19:K28)</f>
        <v>2028</v>
      </c>
      <c r="L29" s="91">
        <f aca="true" t="shared" si="5" ref="L29:S29">SUM(L19:L28)</f>
        <v>1866</v>
      </c>
      <c r="M29" s="91">
        <f t="shared" si="5"/>
        <v>0</v>
      </c>
      <c r="N29" s="91">
        <f t="shared" si="5"/>
        <v>162</v>
      </c>
      <c r="O29" s="91">
        <f t="shared" si="5"/>
        <v>634</v>
      </c>
      <c r="P29" s="91">
        <f t="shared" si="5"/>
        <v>38</v>
      </c>
      <c r="Q29" s="138">
        <f t="shared" si="5"/>
        <v>0</v>
      </c>
      <c r="R29" s="140">
        <f t="shared" si="5"/>
        <v>2179</v>
      </c>
      <c r="S29" s="337">
        <f t="shared" si="5"/>
        <v>196845</v>
      </c>
      <c r="T29" s="91">
        <f aca="true" t="shared" si="6" ref="T29:T34">S29+U29</f>
        <v>208658</v>
      </c>
      <c r="U29" s="140">
        <f>SUM(U19:U28)</f>
        <v>11813</v>
      </c>
      <c r="V29" s="140">
        <f>SUM(V19:V26)</f>
        <v>0</v>
      </c>
      <c r="W29" s="140">
        <f>SUM(W19:W27)</f>
        <v>213537</v>
      </c>
      <c r="X29" s="140">
        <f aca="true" t="shared" si="7" ref="X29:AG29">SUM(X19:X28)</f>
        <v>0</v>
      </c>
      <c r="Y29" s="140">
        <f t="shared" si="7"/>
        <v>213537</v>
      </c>
      <c r="Z29" s="140">
        <f t="shared" si="7"/>
        <v>0</v>
      </c>
      <c r="AA29" s="382">
        <f t="shared" si="7"/>
        <v>0</v>
      </c>
      <c r="AB29" s="140">
        <f t="shared" si="7"/>
        <v>1866</v>
      </c>
      <c r="AC29" s="140">
        <f t="shared" si="7"/>
        <v>0</v>
      </c>
      <c r="AD29" s="140">
        <f t="shared" si="7"/>
        <v>0</v>
      </c>
      <c r="AE29" s="140">
        <f t="shared" si="7"/>
        <v>0</v>
      </c>
      <c r="AF29" s="283">
        <f t="shared" si="7"/>
        <v>0</v>
      </c>
      <c r="AG29" s="283">
        <f t="shared" si="7"/>
        <v>3000</v>
      </c>
      <c r="AH29" s="337">
        <f>SUM(AH19:AH28)</f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2.75">
      <c r="A30" s="888"/>
      <c r="B30" s="133" t="s">
        <v>35</v>
      </c>
      <c r="C30" s="1122"/>
      <c r="D30" s="159"/>
      <c r="E30" s="433"/>
      <c r="F30" s="433"/>
      <c r="G30" s="159"/>
      <c r="H30" s="160"/>
      <c r="I30" s="161"/>
      <c r="J30" s="162">
        <f t="shared" si="1"/>
        <v>0</v>
      </c>
      <c r="K30" s="163">
        <f aca="true" t="shared" si="8" ref="K30:K42">L30+N30</f>
        <v>0</v>
      </c>
      <c r="L30" s="160"/>
      <c r="M30" s="160"/>
      <c r="N30" s="160"/>
      <c r="O30" s="160"/>
      <c r="P30" s="67"/>
      <c r="Q30" s="212"/>
      <c r="R30" s="189"/>
      <c r="S30" s="669"/>
      <c r="T30" s="664">
        <f t="shared" si="6"/>
        <v>0</v>
      </c>
      <c r="U30" s="525"/>
      <c r="V30" s="526"/>
      <c r="W30" s="498">
        <f aca="true" t="shared" si="9" ref="W30:W41">U30+J30</f>
        <v>0</v>
      </c>
      <c r="X30" s="67"/>
      <c r="Y30" s="67"/>
      <c r="Z30" s="67"/>
      <c r="AA30" s="380"/>
      <c r="AB30" s="148"/>
      <c r="AC30" s="67"/>
      <c r="AD30" s="67"/>
      <c r="AE30" s="67"/>
      <c r="AF30" s="284"/>
      <c r="AG30" s="284"/>
      <c r="AH30" s="172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2.75">
      <c r="A31" s="889">
        <v>3</v>
      </c>
      <c r="B31" s="56" t="s">
        <v>188</v>
      </c>
      <c r="C31" s="118">
        <f>D31+H31</f>
        <v>0</v>
      </c>
      <c r="D31" s="68"/>
      <c r="E31" s="68"/>
      <c r="F31" s="74"/>
      <c r="G31" s="66"/>
      <c r="H31" s="68"/>
      <c r="I31" s="65"/>
      <c r="J31" s="65">
        <f t="shared" si="1"/>
        <v>68700</v>
      </c>
      <c r="K31" s="68">
        <f t="shared" si="8"/>
        <v>0</v>
      </c>
      <c r="L31" s="68"/>
      <c r="M31" s="68"/>
      <c r="N31" s="68"/>
      <c r="O31" s="68"/>
      <c r="P31" s="68"/>
      <c r="Q31" s="74"/>
      <c r="R31" s="67">
        <v>68700</v>
      </c>
      <c r="S31" s="172"/>
      <c r="T31" s="664">
        <f t="shared" si="6"/>
        <v>0</v>
      </c>
      <c r="U31" s="310"/>
      <c r="V31" s="67"/>
      <c r="W31" s="67">
        <f t="shared" si="9"/>
        <v>68700</v>
      </c>
      <c r="X31" s="67"/>
      <c r="Y31" s="67">
        <v>68700</v>
      </c>
      <c r="Z31" s="67"/>
      <c r="AA31" s="380"/>
      <c r="AB31" s="148"/>
      <c r="AC31" s="67"/>
      <c r="AD31" s="67"/>
      <c r="AE31" s="67"/>
      <c r="AF31" s="284"/>
      <c r="AG31" s="284"/>
      <c r="AH31" s="172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2.75">
      <c r="A32" s="922">
        <v>1</v>
      </c>
      <c r="B32" s="938" t="s">
        <v>190</v>
      </c>
      <c r="C32" s="109">
        <f aca="true" t="shared" si="10" ref="C32:C42">D32+H32</f>
        <v>0</v>
      </c>
      <c r="D32" s="710"/>
      <c r="E32" s="710"/>
      <c r="F32" s="711"/>
      <c r="G32" s="688"/>
      <c r="H32" s="710"/>
      <c r="I32" s="709"/>
      <c r="J32" s="709">
        <f t="shared" si="1"/>
        <v>23592</v>
      </c>
      <c r="K32" s="710">
        <f t="shared" si="8"/>
        <v>0</v>
      </c>
      <c r="L32" s="710"/>
      <c r="M32" s="710"/>
      <c r="N32" s="710"/>
      <c r="O32" s="710"/>
      <c r="P32" s="710"/>
      <c r="Q32" s="711"/>
      <c r="R32" s="685"/>
      <c r="S32" s="720">
        <v>23592</v>
      </c>
      <c r="T32" s="710">
        <f t="shared" si="6"/>
        <v>6100</v>
      </c>
      <c r="U32" s="685">
        <v>-17492</v>
      </c>
      <c r="V32" s="685"/>
      <c r="W32" s="685">
        <f t="shared" si="9"/>
        <v>6100</v>
      </c>
      <c r="X32" s="685">
        <v>6100</v>
      </c>
      <c r="Y32" s="685"/>
      <c r="Z32" s="685"/>
      <c r="AA32" s="719"/>
      <c r="AB32" s="945"/>
      <c r="AC32" s="685"/>
      <c r="AD32" s="685"/>
      <c r="AE32" s="685"/>
      <c r="AF32" s="944"/>
      <c r="AG32" s="944"/>
      <c r="AH32" s="720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2.75">
      <c r="A33" s="922">
        <v>1</v>
      </c>
      <c r="B33" s="938" t="s">
        <v>190</v>
      </c>
      <c r="C33" s="109">
        <f t="shared" si="10"/>
        <v>0</v>
      </c>
      <c r="D33" s="710"/>
      <c r="E33" s="710"/>
      <c r="F33" s="711"/>
      <c r="G33" s="688"/>
      <c r="H33" s="710"/>
      <c r="I33" s="709"/>
      <c r="J33" s="709">
        <f t="shared" si="1"/>
        <v>-6100</v>
      </c>
      <c r="K33" s="710">
        <f t="shared" si="8"/>
        <v>0</v>
      </c>
      <c r="L33" s="710"/>
      <c r="M33" s="710"/>
      <c r="N33" s="710"/>
      <c r="O33" s="710"/>
      <c r="P33" s="710"/>
      <c r="Q33" s="711"/>
      <c r="R33" s="685"/>
      <c r="S33" s="720">
        <v>-6100</v>
      </c>
      <c r="T33" s="710">
        <f t="shared" si="6"/>
        <v>-6100</v>
      </c>
      <c r="U33" s="685"/>
      <c r="V33" s="685"/>
      <c r="W33" s="685">
        <f t="shared" si="9"/>
        <v>-6100</v>
      </c>
      <c r="X33" s="685">
        <v>-6100</v>
      </c>
      <c r="Y33" s="685"/>
      <c r="Z33" s="685"/>
      <c r="AA33" s="719"/>
      <c r="AB33" s="945"/>
      <c r="AC33" s="685"/>
      <c r="AD33" s="685"/>
      <c r="AE33" s="685"/>
      <c r="AF33" s="944"/>
      <c r="AG33" s="944"/>
      <c r="AH33" s="720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2.75">
      <c r="A34" s="890">
        <v>3</v>
      </c>
      <c r="B34" s="165" t="s">
        <v>194</v>
      </c>
      <c r="C34" s="109">
        <f t="shared" si="10"/>
        <v>0</v>
      </c>
      <c r="D34" s="99"/>
      <c r="E34" s="99"/>
      <c r="F34" s="173"/>
      <c r="G34" s="100"/>
      <c r="H34" s="99"/>
      <c r="I34" s="98"/>
      <c r="J34" s="65">
        <f t="shared" si="1"/>
        <v>0</v>
      </c>
      <c r="K34" s="99">
        <f t="shared" si="8"/>
        <v>0</v>
      </c>
      <c r="L34" s="99"/>
      <c r="M34" s="99"/>
      <c r="N34" s="99"/>
      <c r="O34" s="99"/>
      <c r="P34" s="99"/>
      <c r="Q34" s="173"/>
      <c r="R34" s="310"/>
      <c r="S34" s="174"/>
      <c r="T34" s="99">
        <f t="shared" si="6"/>
        <v>2500</v>
      </c>
      <c r="U34" s="310">
        <v>2500</v>
      </c>
      <c r="V34" s="67"/>
      <c r="W34" s="67">
        <f t="shared" si="9"/>
        <v>2500</v>
      </c>
      <c r="X34" s="310">
        <v>8500</v>
      </c>
      <c r="Y34" s="310">
        <v>-6000</v>
      </c>
      <c r="Z34" s="310"/>
      <c r="AA34" s="380"/>
      <c r="AB34" s="148"/>
      <c r="AC34" s="310"/>
      <c r="AD34" s="310"/>
      <c r="AE34" s="310"/>
      <c r="AF34" s="284"/>
      <c r="AG34" s="284"/>
      <c r="AH34" s="17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2.75">
      <c r="A35" s="917">
        <v>1</v>
      </c>
      <c r="B35" s="933" t="s">
        <v>195</v>
      </c>
      <c r="C35" s="109">
        <f t="shared" si="10"/>
        <v>0</v>
      </c>
      <c r="D35" s="919"/>
      <c r="E35" s="919"/>
      <c r="F35" s="921"/>
      <c r="G35" s="715"/>
      <c r="H35" s="919"/>
      <c r="I35" s="920"/>
      <c r="J35" s="920">
        <f t="shared" si="1"/>
        <v>0</v>
      </c>
      <c r="K35" s="919">
        <f t="shared" si="8"/>
        <v>0</v>
      </c>
      <c r="L35" s="919"/>
      <c r="M35" s="919"/>
      <c r="N35" s="919"/>
      <c r="O35" s="919"/>
      <c r="P35" s="919"/>
      <c r="Q35" s="921"/>
      <c r="R35" s="767"/>
      <c r="S35" s="686"/>
      <c r="T35" s="919">
        <f aca="true" t="shared" si="11" ref="T35:T42">S35+U35</f>
        <v>-1044</v>
      </c>
      <c r="U35" s="767">
        <v>-1044</v>
      </c>
      <c r="V35" s="767"/>
      <c r="W35" s="767">
        <f t="shared" si="9"/>
        <v>-1044</v>
      </c>
      <c r="X35" s="767">
        <v>-1044</v>
      </c>
      <c r="Y35" s="767"/>
      <c r="Z35" s="767"/>
      <c r="AA35" s="940"/>
      <c r="AB35" s="946"/>
      <c r="AC35" s="767"/>
      <c r="AD35" s="767"/>
      <c r="AE35" s="767"/>
      <c r="AF35" s="718"/>
      <c r="AG35" s="718"/>
      <c r="AH35" s="686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2.75">
      <c r="A36" s="891">
        <v>3</v>
      </c>
      <c r="B36" s="895" t="s">
        <v>196</v>
      </c>
      <c r="C36" s="109">
        <f t="shared" si="10"/>
        <v>0</v>
      </c>
      <c r="D36" s="898"/>
      <c r="E36" s="898"/>
      <c r="F36" s="899"/>
      <c r="G36" s="900"/>
      <c r="H36" s="898"/>
      <c r="I36" s="897"/>
      <c r="J36" s="897">
        <f t="shared" si="1"/>
        <v>1887</v>
      </c>
      <c r="K36" s="898">
        <f t="shared" si="8"/>
        <v>1388</v>
      </c>
      <c r="L36" s="898">
        <v>1388</v>
      </c>
      <c r="M36" s="898"/>
      <c r="N36" s="898"/>
      <c r="O36" s="898">
        <v>472</v>
      </c>
      <c r="P36" s="898">
        <v>27</v>
      </c>
      <c r="Q36" s="899"/>
      <c r="R36" s="901"/>
      <c r="S36" s="902"/>
      <c r="T36" s="898">
        <f t="shared" si="11"/>
        <v>0</v>
      </c>
      <c r="U36" s="901"/>
      <c r="V36" s="901"/>
      <c r="W36" s="901">
        <f t="shared" si="9"/>
        <v>1887</v>
      </c>
      <c r="X36" s="901"/>
      <c r="Y36" s="901">
        <v>1887</v>
      </c>
      <c r="Z36" s="901"/>
      <c r="AA36" s="903"/>
      <c r="AB36" s="904">
        <v>1388</v>
      </c>
      <c r="AC36" s="901"/>
      <c r="AD36" s="901"/>
      <c r="AE36" s="901"/>
      <c r="AF36" s="905"/>
      <c r="AG36" s="905"/>
      <c r="AH36" s="902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2.75">
      <c r="A37" s="917">
        <v>1</v>
      </c>
      <c r="B37" s="918" t="s">
        <v>202</v>
      </c>
      <c r="C37" s="109">
        <f t="shared" si="10"/>
        <v>0</v>
      </c>
      <c r="D37" s="99"/>
      <c r="E37" s="99"/>
      <c r="F37" s="173"/>
      <c r="G37" s="100"/>
      <c r="H37" s="99"/>
      <c r="I37" s="98"/>
      <c r="J37" s="920">
        <f t="shared" si="1"/>
        <v>-4361</v>
      </c>
      <c r="K37" s="99">
        <f t="shared" si="8"/>
        <v>0</v>
      </c>
      <c r="L37" s="99"/>
      <c r="M37" s="99"/>
      <c r="N37" s="99"/>
      <c r="O37" s="99"/>
      <c r="P37" s="99"/>
      <c r="Q37" s="173"/>
      <c r="R37" s="767">
        <v>-4361</v>
      </c>
      <c r="S37" s="686"/>
      <c r="T37" s="919">
        <f t="shared" si="11"/>
        <v>0</v>
      </c>
      <c r="U37" s="767"/>
      <c r="V37" s="767"/>
      <c r="W37" s="767">
        <f t="shared" si="9"/>
        <v>-4361</v>
      </c>
      <c r="X37" s="767">
        <v>-4361</v>
      </c>
      <c r="Y37" s="310"/>
      <c r="Z37" s="310"/>
      <c r="AA37" s="380"/>
      <c r="AB37" s="148"/>
      <c r="AC37" s="310"/>
      <c r="AD37" s="310"/>
      <c r="AE37" s="310"/>
      <c r="AF37" s="284"/>
      <c r="AG37" s="284"/>
      <c r="AH37" s="17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2.75">
      <c r="A38" s="102">
        <v>3</v>
      </c>
      <c r="B38" s="895" t="s">
        <v>203</v>
      </c>
      <c r="C38" s="109">
        <f t="shared" si="10"/>
        <v>0</v>
      </c>
      <c r="D38" s="99"/>
      <c r="E38" s="99"/>
      <c r="F38" s="173"/>
      <c r="G38" s="100"/>
      <c r="H38" s="99"/>
      <c r="I38" s="98"/>
      <c r="J38" s="98">
        <f t="shared" si="1"/>
        <v>0</v>
      </c>
      <c r="K38" s="99">
        <f t="shared" si="8"/>
        <v>478</v>
      </c>
      <c r="L38" s="99">
        <v>478</v>
      </c>
      <c r="M38" s="99"/>
      <c r="N38" s="99">
        <v>0</v>
      </c>
      <c r="O38" s="99">
        <v>164</v>
      </c>
      <c r="P38" s="99">
        <v>10</v>
      </c>
      <c r="Q38" s="173"/>
      <c r="R38" s="310">
        <v>-652</v>
      </c>
      <c r="S38" s="174"/>
      <c r="T38" s="99">
        <f t="shared" si="11"/>
        <v>0</v>
      </c>
      <c r="U38" s="310"/>
      <c r="V38" s="310"/>
      <c r="W38" s="310">
        <f t="shared" si="9"/>
        <v>0</v>
      </c>
      <c r="X38" s="310"/>
      <c r="Y38" s="310"/>
      <c r="Z38" s="310"/>
      <c r="AA38" s="380"/>
      <c r="AB38" s="148">
        <v>478</v>
      </c>
      <c r="AC38" s="310"/>
      <c r="AD38" s="310"/>
      <c r="AE38" s="310"/>
      <c r="AF38" s="284"/>
      <c r="AG38" s="284"/>
      <c r="AH38" s="17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2.75">
      <c r="A39" s="102">
        <v>3</v>
      </c>
      <c r="B39" s="895" t="s">
        <v>204</v>
      </c>
      <c r="C39" s="109">
        <f t="shared" si="10"/>
        <v>0</v>
      </c>
      <c r="D39" s="99"/>
      <c r="E39" s="99"/>
      <c r="F39" s="173"/>
      <c r="G39" s="100"/>
      <c r="H39" s="99"/>
      <c r="I39" s="98"/>
      <c r="J39" s="98">
        <f t="shared" si="1"/>
        <v>-110</v>
      </c>
      <c r="K39" s="99">
        <f t="shared" si="8"/>
        <v>-80</v>
      </c>
      <c r="L39" s="99">
        <v>-80</v>
      </c>
      <c r="M39" s="99"/>
      <c r="N39" s="99">
        <v>0</v>
      </c>
      <c r="O39" s="99">
        <v>-28</v>
      </c>
      <c r="P39" s="99">
        <v>-2</v>
      </c>
      <c r="Q39" s="173"/>
      <c r="R39" s="310"/>
      <c r="S39" s="174"/>
      <c r="T39" s="99">
        <f t="shared" si="11"/>
        <v>0</v>
      </c>
      <c r="U39" s="310"/>
      <c r="V39" s="310"/>
      <c r="W39" s="310">
        <f t="shared" si="9"/>
        <v>-110</v>
      </c>
      <c r="X39" s="310"/>
      <c r="Y39" s="310">
        <v>-110</v>
      </c>
      <c r="Z39" s="310"/>
      <c r="AA39" s="380"/>
      <c r="AB39" s="310">
        <v>-80</v>
      </c>
      <c r="AC39" s="310"/>
      <c r="AD39" s="310"/>
      <c r="AE39" s="310"/>
      <c r="AF39" s="284"/>
      <c r="AG39" s="284"/>
      <c r="AH39" s="17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2.75">
      <c r="A40" s="932">
        <v>1</v>
      </c>
      <c r="B40" s="933" t="s">
        <v>205</v>
      </c>
      <c r="C40" s="109">
        <f t="shared" si="10"/>
        <v>0</v>
      </c>
      <c r="D40" s="919"/>
      <c r="E40" s="919"/>
      <c r="F40" s="921"/>
      <c r="G40" s="715"/>
      <c r="H40" s="919"/>
      <c r="I40" s="920"/>
      <c r="J40" s="920">
        <f t="shared" si="1"/>
        <v>7000</v>
      </c>
      <c r="K40" s="919">
        <f t="shared" si="8"/>
        <v>0</v>
      </c>
      <c r="L40" s="919"/>
      <c r="M40" s="919"/>
      <c r="N40" s="919"/>
      <c r="O40" s="919"/>
      <c r="P40" s="919"/>
      <c r="Q40" s="921"/>
      <c r="R40" s="767"/>
      <c r="S40" s="686">
        <v>7000</v>
      </c>
      <c r="T40" s="919">
        <f t="shared" si="11"/>
        <v>0</v>
      </c>
      <c r="U40" s="767">
        <v>-7000</v>
      </c>
      <c r="V40" s="310"/>
      <c r="W40" s="310">
        <f t="shared" si="9"/>
        <v>0</v>
      </c>
      <c r="X40" s="310"/>
      <c r="Y40" s="310"/>
      <c r="Z40" s="310"/>
      <c r="AA40" s="380"/>
      <c r="AB40" s="148"/>
      <c r="AC40" s="310"/>
      <c r="AD40" s="310"/>
      <c r="AE40" s="310"/>
      <c r="AF40" s="284"/>
      <c r="AG40" s="284"/>
      <c r="AH40" s="17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2.75">
      <c r="A41" s="891">
        <v>3</v>
      </c>
      <c r="B41" s="895" t="s">
        <v>207</v>
      </c>
      <c r="C41" s="109">
        <f t="shared" si="10"/>
        <v>0</v>
      </c>
      <c r="D41" s="99"/>
      <c r="E41" s="99"/>
      <c r="F41" s="173"/>
      <c r="G41" s="100"/>
      <c r="H41" s="99"/>
      <c r="I41" s="98"/>
      <c r="J41" s="98">
        <f t="shared" si="1"/>
        <v>-2283</v>
      </c>
      <c r="K41" s="99">
        <f t="shared" si="8"/>
        <v>0</v>
      </c>
      <c r="L41" s="99"/>
      <c r="M41" s="99"/>
      <c r="N41" s="99"/>
      <c r="O41" s="99"/>
      <c r="P41" s="99"/>
      <c r="Q41" s="173"/>
      <c r="R41" s="310">
        <v>-2283</v>
      </c>
      <c r="S41" s="174"/>
      <c r="T41" s="99">
        <f t="shared" si="11"/>
        <v>0</v>
      </c>
      <c r="U41" s="310"/>
      <c r="V41" s="310"/>
      <c r="W41" s="310">
        <f t="shared" si="9"/>
        <v>-2283</v>
      </c>
      <c r="X41" s="310">
        <v>-2283</v>
      </c>
      <c r="Y41" s="310"/>
      <c r="Z41" s="310"/>
      <c r="AA41" s="380"/>
      <c r="AB41" s="148"/>
      <c r="AC41" s="310"/>
      <c r="AD41" s="310"/>
      <c r="AE41" s="310"/>
      <c r="AF41" s="284"/>
      <c r="AG41" s="284"/>
      <c r="AH41" s="17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3.5" thickBot="1">
      <c r="A42" s="891">
        <v>3</v>
      </c>
      <c r="B42" s="895" t="s">
        <v>208</v>
      </c>
      <c r="C42" s="109">
        <f t="shared" si="10"/>
        <v>0</v>
      </c>
      <c r="D42" s="99"/>
      <c r="E42" s="99"/>
      <c r="F42" s="173"/>
      <c r="G42" s="100"/>
      <c r="H42" s="99"/>
      <c r="I42" s="98"/>
      <c r="J42" s="98">
        <f>K42+O42+P42+Q42+R42</f>
        <v>0</v>
      </c>
      <c r="K42" s="99">
        <f t="shared" si="8"/>
        <v>0</v>
      </c>
      <c r="L42" s="99"/>
      <c r="M42" s="99"/>
      <c r="N42" s="99"/>
      <c r="O42" s="99"/>
      <c r="P42" s="99"/>
      <c r="Q42" s="173"/>
      <c r="R42" s="310"/>
      <c r="S42" s="174"/>
      <c r="T42" s="99">
        <f t="shared" si="11"/>
        <v>3500</v>
      </c>
      <c r="U42" s="310">
        <v>3500</v>
      </c>
      <c r="V42" s="310"/>
      <c r="W42" s="310">
        <f>J42+U42</f>
        <v>3500</v>
      </c>
      <c r="X42" s="310"/>
      <c r="Y42" s="310">
        <v>3500</v>
      </c>
      <c r="Z42" s="310"/>
      <c r="AA42" s="380"/>
      <c r="AB42" s="148"/>
      <c r="AC42" s="310"/>
      <c r="AD42" s="310"/>
      <c r="AE42" s="310"/>
      <c r="AF42" s="284"/>
      <c r="AG42" s="284"/>
      <c r="AH42" s="17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3.5" thickBot="1">
      <c r="A43" s="116"/>
      <c r="B43" s="34" t="s">
        <v>37</v>
      </c>
      <c r="C43" s="90">
        <f aca="true" t="shared" si="12" ref="C43:V43">SUM(C30:C42)</f>
        <v>0</v>
      </c>
      <c r="D43" s="91">
        <f t="shared" si="12"/>
        <v>0</v>
      </c>
      <c r="E43" s="91"/>
      <c r="F43" s="138"/>
      <c r="G43" s="197"/>
      <c r="H43" s="140">
        <f t="shared" si="12"/>
        <v>0</v>
      </c>
      <c r="I43" s="140">
        <f t="shared" si="12"/>
        <v>0</v>
      </c>
      <c r="J43" s="337">
        <f t="shared" si="12"/>
        <v>88325</v>
      </c>
      <c r="K43" s="91">
        <f t="shared" si="12"/>
        <v>1786</v>
      </c>
      <c r="L43" s="91">
        <f t="shared" si="12"/>
        <v>1786</v>
      </c>
      <c r="M43" s="91"/>
      <c r="N43" s="91">
        <f t="shared" si="12"/>
        <v>0</v>
      </c>
      <c r="O43" s="91">
        <f t="shared" si="12"/>
        <v>608</v>
      </c>
      <c r="P43" s="91">
        <f t="shared" si="12"/>
        <v>35</v>
      </c>
      <c r="Q43" s="138">
        <f t="shared" si="12"/>
        <v>0</v>
      </c>
      <c r="R43" s="140">
        <f t="shared" si="12"/>
        <v>61404</v>
      </c>
      <c r="S43" s="337">
        <f t="shared" si="12"/>
        <v>24492</v>
      </c>
      <c r="T43" s="91">
        <f t="shared" si="12"/>
        <v>4956</v>
      </c>
      <c r="U43" s="140">
        <f t="shared" si="12"/>
        <v>-19536</v>
      </c>
      <c r="V43" s="140">
        <f t="shared" si="12"/>
        <v>0</v>
      </c>
      <c r="W43" s="140">
        <f>U43+J43</f>
        <v>68789</v>
      </c>
      <c r="X43" s="140">
        <f>SUM(X30:X42)</f>
        <v>812</v>
      </c>
      <c r="Y43" s="140">
        <f>SUM(Y30:Y42)</f>
        <v>67977</v>
      </c>
      <c r="Z43" s="140"/>
      <c r="AA43" s="382">
        <f>SUM(AA30:AA42)</f>
        <v>0</v>
      </c>
      <c r="AB43" s="460">
        <f aca="true" t="shared" si="13" ref="AB43:AH43">SUM(AB30:AB42)</f>
        <v>1786</v>
      </c>
      <c r="AC43" s="140">
        <f t="shared" si="13"/>
        <v>0</v>
      </c>
      <c r="AD43" s="140">
        <f t="shared" si="13"/>
        <v>0</v>
      </c>
      <c r="AE43" s="140">
        <f t="shared" si="13"/>
        <v>0</v>
      </c>
      <c r="AF43" s="283">
        <f t="shared" si="13"/>
        <v>0</v>
      </c>
      <c r="AG43" s="283">
        <f t="shared" si="13"/>
        <v>0</v>
      </c>
      <c r="AH43" s="337">
        <f t="shared" si="13"/>
        <v>0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2.75">
      <c r="A44" s="953">
        <v>1</v>
      </c>
      <c r="B44" s="947" t="s">
        <v>209</v>
      </c>
      <c r="C44" s="105">
        <f>D44+H44</f>
        <v>0</v>
      </c>
      <c r="D44" s="106"/>
      <c r="E44" s="106"/>
      <c r="F44" s="176"/>
      <c r="G44" s="107"/>
      <c r="H44" s="217"/>
      <c r="I44" s="217"/>
      <c r="J44" s="177">
        <f aca="true" t="shared" si="14" ref="J44:J56">K44+O44+P44+Q44+R44+S44</f>
        <v>-36522</v>
      </c>
      <c r="K44" s="106">
        <f>L44+N44</f>
        <v>0</v>
      </c>
      <c r="L44" s="106"/>
      <c r="M44" s="106"/>
      <c r="N44" s="106"/>
      <c r="O44" s="106"/>
      <c r="P44" s="106"/>
      <c r="Q44" s="176"/>
      <c r="R44" s="980"/>
      <c r="S44" s="981">
        <v>-36522</v>
      </c>
      <c r="T44" s="948">
        <f aca="true" t="shared" si="15" ref="T44:T56">S44+U44</f>
        <v>0</v>
      </c>
      <c r="U44" s="949">
        <v>36522</v>
      </c>
      <c r="V44" s="217"/>
      <c r="W44" s="217">
        <f>J44+U44+V44</f>
        <v>0</v>
      </c>
      <c r="X44" s="217"/>
      <c r="Y44" s="217"/>
      <c r="Z44" s="217"/>
      <c r="AA44" s="384"/>
      <c r="AB44" s="461"/>
      <c r="AC44" s="217"/>
      <c r="AD44" s="217"/>
      <c r="AE44" s="217"/>
      <c r="AF44" s="285"/>
      <c r="AG44" s="285"/>
      <c r="AH44" s="177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2.75">
      <c r="A45" s="954">
        <v>1</v>
      </c>
      <c r="B45" s="804" t="s">
        <v>210</v>
      </c>
      <c r="C45" s="109">
        <f aca="true" t="shared" si="16" ref="C45:C56">D45+H45</f>
        <v>0</v>
      </c>
      <c r="D45" s="110"/>
      <c r="E45" s="110"/>
      <c r="F45" s="178"/>
      <c r="G45" s="111"/>
      <c r="H45" s="218"/>
      <c r="I45" s="218"/>
      <c r="J45" s="179">
        <f t="shared" si="14"/>
        <v>61</v>
      </c>
      <c r="K45" s="110">
        <f aca="true" t="shared" si="17" ref="K45:K55">L45+N45</f>
        <v>0</v>
      </c>
      <c r="L45" s="110"/>
      <c r="M45" s="110"/>
      <c r="N45" s="110"/>
      <c r="O45" s="110"/>
      <c r="P45" s="110"/>
      <c r="Q45" s="178"/>
      <c r="R45" s="970"/>
      <c r="S45" s="686">
        <v>61</v>
      </c>
      <c r="T45" s="950">
        <f t="shared" si="15"/>
        <v>0</v>
      </c>
      <c r="U45" s="951">
        <v>-61</v>
      </c>
      <c r="V45" s="218"/>
      <c r="W45" s="218">
        <f aca="true" t="shared" si="18" ref="W45:W56">J45+U45+V45</f>
        <v>0</v>
      </c>
      <c r="X45" s="476"/>
      <c r="Y45" s="476"/>
      <c r="Z45" s="218"/>
      <c r="AA45" s="385"/>
      <c r="AB45" s="462"/>
      <c r="AC45" s="218"/>
      <c r="AD45" s="218"/>
      <c r="AE45" s="218"/>
      <c r="AF45" s="286"/>
      <c r="AG45" s="286"/>
      <c r="AH45" s="179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.75">
      <c r="A46" s="97">
        <v>3</v>
      </c>
      <c r="B46" s="164" t="s">
        <v>215</v>
      </c>
      <c r="C46" s="109">
        <f t="shared" si="16"/>
        <v>0</v>
      </c>
      <c r="D46" s="110"/>
      <c r="E46" s="110"/>
      <c r="F46" s="178"/>
      <c r="G46" s="111"/>
      <c r="H46" s="218"/>
      <c r="I46" s="218"/>
      <c r="J46" s="179">
        <f t="shared" si="14"/>
        <v>15648</v>
      </c>
      <c r="K46" s="110">
        <f t="shared" si="17"/>
        <v>0</v>
      </c>
      <c r="L46" s="110"/>
      <c r="M46" s="110"/>
      <c r="N46" s="110"/>
      <c r="O46" s="110"/>
      <c r="P46" s="110"/>
      <c r="Q46" s="178"/>
      <c r="R46" s="970"/>
      <c r="S46" s="982">
        <v>15648</v>
      </c>
      <c r="T46" s="110">
        <f t="shared" si="15"/>
        <v>15648</v>
      </c>
      <c r="U46" s="218"/>
      <c r="V46" s="218"/>
      <c r="W46" s="218">
        <f t="shared" si="18"/>
        <v>15648</v>
      </c>
      <c r="X46" s="476"/>
      <c r="Y46" s="476">
        <v>15648</v>
      </c>
      <c r="Z46" s="218"/>
      <c r="AA46" s="385"/>
      <c r="AB46" s="462"/>
      <c r="AC46" s="218"/>
      <c r="AD46" s="218"/>
      <c r="AE46" s="218"/>
      <c r="AF46" s="286"/>
      <c r="AG46" s="286"/>
      <c r="AH46" s="179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2.75">
      <c r="A47" s="954">
        <v>1</v>
      </c>
      <c r="B47" s="923" t="s">
        <v>216</v>
      </c>
      <c r="C47" s="109">
        <f t="shared" si="16"/>
        <v>0</v>
      </c>
      <c r="D47" s="110"/>
      <c r="E47" s="110"/>
      <c r="F47" s="178"/>
      <c r="G47" s="111"/>
      <c r="H47" s="218"/>
      <c r="I47" s="218"/>
      <c r="J47" s="179">
        <f t="shared" si="14"/>
        <v>4459</v>
      </c>
      <c r="K47" s="110">
        <f t="shared" si="17"/>
        <v>0</v>
      </c>
      <c r="L47" s="110"/>
      <c r="M47" s="110"/>
      <c r="N47" s="110"/>
      <c r="O47" s="110"/>
      <c r="P47" s="110"/>
      <c r="Q47" s="178"/>
      <c r="R47" s="970"/>
      <c r="S47" s="686">
        <v>4459</v>
      </c>
      <c r="T47" s="950">
        <f t="shared" si="15"/>
        <v>0</v>
      </c>
      <c r="U47" s="951">
        <v>-4459</v>
      </c>
      <c r="V47" s="218"/>
      <c r="W47" s="218">
        <f t="shared" si="18"/>
        <v>0</v>
      </c>
      <c r="X47" s="476"/>
      <c r="Y47" s="476"/>
      <c r="Z47" s="218"/>
      <c r="AA47" s="385"/>
      <c r="AB47" s="462"/>
      <c r="AC47" s="218"/>
      <c r="AD47" s="218"/>
      <c r="AE47" s="218"/>
      <c r="AF47" s="286"/>
      <c r="AG47" s="286"/>
      <c r="AH47" s="179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2.75">
      <c r="A48" s="820">
        <v>1</v>
      </c>
      <c r="B48" s="821" t="s">
        <v>217</v>
      </c>
      <c r="C48" s="109">
        <f t="shared" si="16"/>
        <v>0</v>
      </c>
      <c r="D48" s="110"/>
      <c r="E48" s="110"/>
      <c r="F48" s="178"/>
      <c r="G48" s="111"/>
      <c r="H48" s="218"/>
      <c r="I48" s="218"/>
      <c r="J48" s="961">
        <f t="shared" si="14"/>
        <v>-101305</v>
      </c>
      <c r="K48" s="956">
        <f t="shared" si="17"/>
        <v>0</v>
      </c>
      <c r="L48" s="956"/>
      <c r="M48" s="956"/>
      <c r="N48" s="956"/>
      <c r="O48" s="956"/>
      <c r="P48" s="956"/>
      <c r="Q48" s="957"/>
      <c r="R48" s="967">
        <v>-81257</v>
      </c>
      <c r="S48" s="969">
        <v>-20048</v>
      </c>
      <c r="T48" s="956">
        <f t="shared" si="15"/>
        <v>-61628</v>
      </c>
      <c r="U48" s="958">
        <v>-41580</v>
      </c>
      <c r="V48" s="958"/>
      <c r="W48" s="958">
        <f t="shared" si="18"/>
        <v>-142885</v>
      </c>
      <c r="X48" s="967">
        <v>-79365</v>
      </c>
      <c r="Y48" s="967">
        <v>-63520</v>
      </c>
      <c r="Z48" s="958"/>
      <c r="AA48" s="959"/>
      <c r="AB48" s="962"/>
      <c r="AC48" s="958"/>
      <c r="AD48" s="958"/>
      <c r="AE48" s="958"/>
      <c r="AF48" s="904"/>
      <c r="AG48" s="904"/>
      <c r="AH48" s="961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2.75">
      <c r="A49" s="97">
        <v>3</v>
      </c>
      <c r="B49" s="164" t="s">
        <v>218</v>
      </c>
      <c r="C49" s="109">
        <f t="shared" si="16"/>
        <v>0</v>
      </c>
      <c r="D49" s="110"/>
      <c r="E49" s="110"/>
      <c r="F49" s="178"/>
      <c r="G49" s="111"/>
      <c r="H49" s="218"/>
      <c r="I49" s="218"/>
      <c r="J49" s="179">
        <f t="shared" si="14"/>
        <v>80150</v>
      </c>
      <c r="K49" s="110">
        <f t="shared" si="17"/>
        <v>0</v>
      </c>
      <c r="L49" s="110"/>
      <c r="M49" s="110"/>
      <c r="N49" s="110"/>
      <c r="O49" s="110"/>
      <c r="P49" s="110"/>
      <c r="Q49" s="178"/>
      <c r="R49" s="970">
        <v>80150</v>
      </c>
      <c r="S49" s="982"/>
      <c r="T49" s="110">
        <f t="shared" si="15"/>
        <v>0</v>
      </c>
      <c r="U49" s="218"/>
      <c r="V49" s="218"/>
      <c r="W49" s="218">
        <f t="shared" si="18"/>
        <v>80150</v>
      </c>
      <c r="X49" s="970"/>
      <c r="Y49" s="970">
        <v>80150</v>
      </c>
      <c r="Z49" s="218"/>
      <c r="AA49" s="385"/>
      <c r="AB49" s="462"/>
      <c r="AC49" s="218"/>
      <c r="AD49" s="218"/>
      <c r="AE49" s="218"/>
      <c r="AF49" s="904"/>
      <c r="AG49" s="904"/>
      <c r="AH49" s="179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2.75">
      <c r="A50" s="97">
        <v>3</v>
      </c>
      <c r="B50" s="164" t="s">
        <v>219</v>
      </c>
      <c r="C50" s="109">
        <f t="shared" si="16"/>
        <v>0</v>
      </c>
      <c r="D50" s="110"/>
      <c r="E50" s="110"/>
      <c r="F50" s="178"/>
      <c r="G50" s="111"/>
      <c r="H50" s="218"/>
      <c r="I50" s="218"/>
      <c r="J50" s="179">
        <f t="shared" si="14"/>
        <v>-350</v>
      </c>
      <c r="K50" s="110">
        <f t="shared" si="17"/>
        <v>0</v>
      </c>
      <c r="L50" s="110"/>
      <c r="M50" s="110"/>
      <c r="N50" s="110"/>
      <c r="O50" s="110"/>
      <c r="P50" s="110"/>
      <c r="Q50" s="178"/>
      <c r="R50" s="970"/>
      <c r="S50" s="982">
        <v>-350</v>
      </c>
      <c r="T50" s="110">
        <f t="shared" si="15"/>
        <v>-350</v>
      </c>
      <c r="U50" s="218"/>
      <c r="V50" s="218"/>
      <c r="W50" s="218">
        <f t="shared" si="18"/>
        <v>-350</v>
      </c>
      <c r="X50" s="970"/>
      <c r="Y50" s="970">
        <v>-350</v>
      </c>
      <c r="Z50" s="218"/>
      <c r="AA50" s="385"/>
      <c r="AB50" s="462"/>
      <c r="AC50" s="218"/>
      <c r="AD50" s="218"/>
      <c r="AE50" s="218"/>
      <c r="AF50" s="904"/>
      <c r="AG50" s="904"/>
      <c r="AH50" s="179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2.75">
      <c r="A51" s="97">
        <v>3</v>
      </c>
      <c r="B51" s="164" t="s">
        <v>220</v>
      </c>
      <c r="C51" s="109">
        <f t="shared" si="16"/>
        <v>0</v>
      </c>
      <c r="D51" s="110"/>
      <c r="E51" s="110"/>
      <c r="F51" s="178"/>
      <c r="G51" s="111"/>
      <c r="H51" s="218"/>
      <c r="I51" s="218"/>
      <c r="J51" s="179">
        <f t="shared" si="14"/>
        <v>0</v>
      </c>
      <c r="K51" s="110">
        <f t="shared" si="17"/>
        <v>0</v>
      </c>
      <c r="L51" s="110"/>
      <c r="M51" s="110"/>
      <c r="N51" s="110"/>
      <c r="O51" s="110"/>
      <c r="P51" s="110"/>
      <c r="Q51" s="178"/>
      <c r="R51" s="218"/>
      <c r="S51" s="179"/>
      <c r="T51" s="110">
        <f t="shared" si="15"/>
        <v>106000</v>
      </c>
      <c r="U51" s="218">
        <v>106000</v>
      </c>
      <c r="V51" s="218"/>
      <c r="W51" s="218">
        <f t="shared" si="18"/>
        <v>106000</v>
      </c>
      <c r="X51" s="476">
        <v>106000</v>
      </c>
      <c r="Y51" s="218"/>
      <c r="Z51" s="218"/>
      <c r="AA51" s="385"/>
      <c r="AB51" s="462"/>
      <c r="AC51" s="218"/>
      <c r="AD51" s="218"/>
      <c r="AE51" s="218"/>
      <c r="AF51" s="904"/>
      <c r="AG51" s="904"/>
      <c r="AH51" s="179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2.75">
      <c r="A52" s="954">
        <v>1</v>
      </c>
      <c r="B52" s="923" t="s">
        <v>225</v>
      </c>
      <c r="C52" s="109">
        <f t="shared" si="16"/>
        <v>0</v>
      </c>
      <c r="D52" s="110"/>
      <c r="E52" s="110"/>
      <c r="F52" s="178"/>
      <c r="G52" s="111"/>
      <c r="H52" s="218"/>
      <c r="I52" s="218"/>
      <c r="J52" s="1026">
        <f t="shared" si="14"/>
        <v>-45</v>
      </c>
      <c r="K52" s="110">
        <f t="shared" si="17"/>
        <v>0</v>
      </c>
      <c r="L52" s="110"/>
      <c r="M52" s="110"/>
      <c r="N52" s="110"/>
      <c r="O52" s="110"/>
      <c r="P52" s="110"/>
      <c r="Q52" s="178"/>
      <c r="R52" s="218"/>
      <c r="S52" s="686">
        <v>-45</v>
      </c>
      <c r="T52" s="951">
        <f t="shared" si="15"/>
        <v>0</v>
      </c>
      <c r="U52" s="951">
        <v>45</v>
      </c>
      <c r="V52" s="218"/>
      <c r="W52" s="951">
        <f t="shared" si="18"/>
        <v>0</v>
      </c>
      <c r="X52" s="476"/>
      <c r="Y52" s="218"/>
      <c r="Z52" s="218"/>
      <c r="AA52" s="385"/>
      <c r="AB52" s="462"/>
      <c r="AC52" s="218"/>
      <c r="AD52" s="218"/>
      <c r="AE52" s="218"/>
      <c r="AF52" s="904"/>
      <c r="AG52" s="904"/>
      <c r="AH52" s="179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2.75">
      <c r="A53" s="97">
        <v>3</v>
      </c>
      <c r="B53" s="164" t="s">
        <v>221</v>
      </c>
      <c r="C53" s="109">
        <f>D53+E53+F53+H53</f>
        <v>-27877</v>
      </c>
      <c r="D53" s="110"/>
      <c r="E53" s="682">
        <v>-27877</v>
      </c>
      <c r="F53" s="178"/>
      <c r="G53" s="111"/>
      <c r="H53" s="218"/>
      <c r="I53" s="218"/>
      <c r="J53" s="179">
        <f t="shared" si="14"/>
        <v>-27877</v>
      </c>
      <c r="K53" s="110">
        <f t="shared" si="17"/>
        <v>0</v>
      </c>
      <c r="L53" s="110"/>
      <c r="M53" s="110"/>
      <c r="N53" s="110"/>
      <c r="O53" s="110"/>
      <c r="P53" s="110"/>
      <c r="Q53" s="178"/>
      <c r="R53" s="476">
        <v>-27877</v>
      </c>
      <c r="S53" s="179"/>
      <c r="T53" s="110">
        <f t="shared" si="15"/>
        <v>0</v>
      </c>
      <c r="U53" s="218"/>
      <c r="V53" s="218"/>
      <c r="W53" s="218">
        <f t="shared" si="18"/>
        <v>-27877</v>
      </c>
      <c r="X53" s="476">
        <v>-27877</v>
      </c>
      <c r="Y53" s="218"/>
      <c r="Z53" s="218"/>
      <c r="AA53" s="385"/>
      <c r="AB53" s="462"/>
      <c r="AC53" s="218"/>
      <c r="AD53" s="218"/>
      <c r="AE53" s="218"/>
      <c r="AF53" s="904"/>
      <c r="AG53" s="310">
        <v>-32797</v>
      </c>
      <c r="AH53" s="179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2.75">
      <c r="A54" s="954">
        <v>1</v>
      </c>
      <c r="B54" s="923" t="s">
        <v>222</v>
      </c>
      <c r="C54" s="109">
        <f>D54+E54+F54+H54</f>
        <v>0</v>
      </c>
      <c r="D54" s="110"/>
      <c r="E54" s="110"/>
      <c r="F54" s="178"/>
      <c r="G54" s="111"/>
      <c r="H54" s="218"/>
      <c r="I54" s="218"/>
      <c r="J54" s="1026">
        <f t="shared" si="14"/>
        <v>0</v>
      </c>
      <c r="K54" s="110">
        <f t="shared" si="17"/>
        <v>0</v>
      </c>
      <c r="L54" s="110"/>
      <c r="M54" s="110"/>
      <c r="N54" s="110"/>
      <c r="O54" s="110"/>
      <c r="P54" s="110"/>
      <c r="Q54" s="178"/>
      <c r="R54" s="218"/>
      <c r="S54" s="1026"/>
      <c r="T54" s="950">
        <f t="shared" si="15"/>
        <v>-2400</v>
      </c>
      <c r="U54" s="951">
        <v>-2400</v>
      </c>
      <c r="V54" s="951"/>
      <c r="W54" s="951">
        <f t="shared" si="18"/>
        <v>-2400</v>
      </c>
      <c r="X54" s="767">
        <v>-2400</v>
      </c>
      <c r="Y54" s="951"/>
      <c r="Z54" s="218"/>
      <c r="AA54" s="385"/>
      <c r="AB54" s="462"/>
      <c r="AC54" s="218"/>
      <c r="AD54" s="218"/>
      <c r="AE54" s="218"/>
      <c r="AF54" s="904"/>
      <c r="AG54" s="904"/>
      <c r="AH54" s="179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3.5" thickBot="1">
      <c r="A55" s="954">
        <v>1</v>
      </c>
      <c r="B55" s="923" t="s">
        <v>223</v>
      </c>
      <c r="C55" s="109">
        <f>D55+E55+F55+H55</f>
        <v>0</v>
      </c>
      <c r="D55" s="110"/>
      <c r="E55" s="110"/>
      <c r="F55" s="178"/>
      <c r="G55" s="111"/>
      <c r="H55" s="218"/>
      <c r="I55" s="218"/>
      <c r="J55" s="1026">
        <f t="shared" si="14"/>
        <v>-4740</v>
      </c>
      <c r="K55" s="110">
        <f t="shared" si="17"/>
        <v>0</v>
      </c>
      <c r="L55" s="110"/>
      <c r="M55" s="110"/>
      <c r="N55" s="110"/>
      <c r="O55" s="110"/>
      <c r="P55" s="110"/>
      <c r="Q55" s="178"/>
      <c r="R55" s="218"/>
      <c r="S55" s="686">
        <v>-4740</v>
      </c>
      <c r="T55" s="950">
        <f t="shared" si="15"/>
        <v>-900</v>
      </c>
      <c r="U55" s="951">
        <v>3840</v>
      </c>
      <c r="V55" s="951"/>
      <c r="W55" s="951">
        <f t="shared" si="18"/>
        <v>-900</v>
      </c>
      <c r="X55" s="767">
        <v>-900</v>
      </c>
      <c r="Y55" s="951"/>
      <c r="Z55" s="218"/>
      <c r="AA55" s="385"/>
      <c r="AB55" s="462"/>
      <c r="AC55" s="218"/>
      <c r="AD55" s="218"/>
      <c r="AE55" s="218"/>
      <c r="AF55" s="904"/>
      <c r="AG55" s="904"/>
      <c r="AH55" s="179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13.5" hidden="1" thickBot="1">
      <c r="A56" s="97">
        <v>3</v>
      </c>
      <c r="B56" s="164"/>
      <c r="C56" s="109">
        <f t="shared" si="16"/>
        <v>0</v>
      </c>
      <c r="D56" s="110"/>
      <c r="E56" s="110"/>
      <c r="F56" s="178"/>
      <c r="G56" s="111"/>
      <c r="H56" s="218"/>
      <c r="I56" s="218"/>
      <c r="J56" s="179">
        <f t="shared" si="14"/>
        <v>0</v>
      </c>
      <c r="K56" s="110"/>
      <c r="L56" s="110"/>
      <c r="M56" s="110"/>
      <c r="N56" s="110"/>
      <c r="O56" s="110"/>
      <c r="P56" s="110"/>
      <c r="Q56" s="178"/>
      <c r="R56" s="218"/>
      <c r="S56" s="179"/>
      <c r="T56" s="110">
        <f t="shared" si="15"/>
        <v>0</v>
      </c>
      <c r="U56" s="218"/>
      <c r="V56" s="218"/>
      <c r="W56" s="218">
        <f t="shared" si="18"/>
        <v>0</v>
      </c>
      <c r="X56" s="218"/>
      <c r="Y56" s="218"/>
      <c r="Z56" s="218"/>
      <c r="AA56" s="385"/>
      <c r="AB56" s="462"/>
      <c r="AC56" s="218"/>
      <c r="AD56" s="218"/>
      <c r="AE56" s="218"/>
      <c r="AF56" s="286"/>
      <c r="AG56" s="286"/>
      <c r="AH56" s="179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6" ht="13.5" thickBot="1">
      <c r="A57" s="116"/>
      <c r="B57" s="34" t="s">
        <v>38</v>
      </c>
      <c r="C57" s="85">
        <f aca="true" t="shared" si="19" ref="C57:V57">SUM(C44:C56)</f>
        <v>-27877</v>
      </c>
      <c r="D57" s="85">
        <f t="shared" si="19"/>
        <v>0</v>
      </c>
      <c r="E57" s="85">
        <f>SUM(E44:E56)</f>
        <v>-27877</v>
      </c>
      <c r="F57" s="137">
        <f>SUM(F44:F56)</f>
        <v>0</v>
      </c>
      <c r="G57" s="94"/>
      <c r="H57" s="87">
        <f t="shared" si="19"/>
        <v>0</v>
      </c>
      <c r="I57" s="87">
        <f t="shared" si="19"/>
        <v>0</v>
      </c>
      <c r="J57" s="117">
        <f t="shared" si="19"/>
        <v>-70521</v>
      </c>
      <c r="K57" s="85">
        <f t="shared" si="19"/>
        <v>0</v>
      </c>
      <c r="L57" s="85">
        <f t="shared" si="19"/>
        <v>0</v>
      </c>
      <c r="M57" s="85"/>
      <c r="N57" s="85">
        <f t="shared" si="19"/>
        <v>0</v>
      </c>
      <c r="O57" s="85">
        <f t="shared" si="19"/>
        <v>0</v>
      </c>
      <c r="P57" s="85">
        <f t="shared" si="19"/>
        <v>0</v>
      </c>
      <c r="Q57" s="137">
        <f t="shared" si="19"/>
        <v>0</v>
      </c>
      <c r="R57" s="87">
        <f>SUM(R44:R56)+81257</f>
        <v>52273</v>
      </c>
      <c r="S57" s="117">
        <f>SUM(S44:S56)+20048</f>
        <v>-21489</v>
      </c>
      <c r="T57" s="86">
        <f>SUM(T44:T56)+61628</f>
        <v>117998</v>
      </c>
      <c r="U57" s="87">
        <f>SUM(U44:U56)+41580</f>
        <v>139487</v>
      </c>
      <c r="V57" s="87">
        <f t="shared" si="19"/>
        <v>0</v>
      </c>
      <c r="W57" s="87">
        <f>SUM(W44:W56)+142885</f>
        <v>170271</v>
      </c>
      <c r="X57" s="87">
        <f>SUM(X44:X56)+79365</f>
        <v>74823</v>
      </c>
      <c r="Y57" s="87">
        <f>SUM(Y44:Y56)+63520</f>
        <v>95448</v>
      </c>
      <c r="Z57" s="87">
        <f>SUM(Z44:Z56)</f>
        <v>0</v>
      </c>
      <c r="AA57" s="175">
        <f>SUM(AA44:AA56)</f>
        <v>0</v>
      </c>
      <c r="AB57" s="86">
        <f>SUM(AB44:AB56)</f>
        <v>0</v>
      </c>
      <c r="AC57" s="87">
        <f>SUM(AC44:AC56)+63520</f>
        <v>63520</v>
      </c>
      <c r="AD57" s="87">
        <f>SUM(AD44:AD56)+63520</f>
        <v>63520</v>
      </c>
      <c r="AE57" s="87">
        <f>SUM(AE44:AE56)</f>
        <v>0</v>
      </c>
      <c r="AF57" s="87">
        <f>SUM(AF44:AF56)</f>
        <v>0</v>
      </c>
      <c r="AG57" s="87">
        <f>SUM(AG44:AG56)</f>
        <v>-32797</v>
      </c>
      <c r="AH57" s="117">
        <f>SUM(AH44:AH56)</f>
        <v>0</v>
      </c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2.75">
      <c r="A58" s="104">
        <v>3</v>
      </c>
      <c r="B58" s="158" t="s">
        <v>229</v>
      </c>
      <c r="C58" s="105">
        <f aca="true" t="shared" si="20" ref="C58:C79">D58+H58</f>
        <v>0</v>
      </c>
      <c r="D58" s="106"/>
      <c r="E58" s="106"/>
      <c r="F58" s="176"/>
      <c r="G58" s="107"/>
      <c r="H58" s="217"/>
      <c r="I58" s="217"/>
      <c r="J58" s="179">
        <f aca="true" t="shared" si="21" ref="J58:J79">K58+O58+P58+Q58+R58+S58</f>
        <v>100</v>
      </c>
      <c r="K58" s="1039">
        <f>L58+N58</f>
        <v>354</v>
      </c>
      <c r="L58" s="1039">
        <v>275</v>
      </c>
      <c r="M58" s="1039"/>
      <c r="N58" s="1039">
        <v>79</v>
      </c>
      <c r="O58" s="1039">
        <v>93</v>
      </c>
      <c r="P58" s="1039">
        <v>6</v>
      </c>
      <c r="Q58" s="1040"/>
      <c r="R58" s="980">
        <v>-453</v>
      </c>
      <c r="S58" s="1035">
        <v>100</v>
      </c>
      <c r="T58" s="106">
        <f aca="true" t="shared" si="22" ref="T58:T68">S58+U58</f>
        <v>0</v>
      </c>
      <c r="U58" s="217">
        <v>-100</v>
      </c>
      <c r="V58" s="338"/>
      <c r="W58" s="218">
        <f>J58+U58</f>
        <v>0</v>
      </c>
      <c r="X58" s="980">
        <v>-700</v>
      </c>
      <c r="Y58" s="980">
        <v>700</v>
      </c>
      <c r="Z58" s="980"/>
      <c r="AA58" s="1032"/>
      <c r="AB58" s="1033">
        <v>275</v>
      </c>
      <c r="AC58" s="980"/>
      <c r="AD58" s="980"/>
      <c r="AE58" s="980"/>
      <c r="AF58" s="1034"/>
      <c r="AG58" s="476">
        <v>-4770</v>
      </c>
      <c r="AH58" s="1035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>
      <c r="A59" s="954">
        <v>1</v>
      </c>
      <c r="B59" s="923" t="s">
        <v>230</v>
      </c>
      <c r="C59" s="1048">
        <f t="shared" si="20"/>
        <v>0</v>
      </c>
      <c r="D59" s="1049"/>
      <c r="E59" s="1049"/>
      <c r="F59" s="1050"/>
      <c r="G59" s="1051"/>
      <c r="H59" s="1052"/>
      <c r="I59" s="1052"/>
      <c r="J59" s="1053">
        <f t="shared" si="21"/>
        <v>-4025</v>
      </c>
      <c r="K59" s="768">
        <f aca="true" t="shared" si="23" ref="K59:K79">L59+N59</f>
        <v>0</v>
      </c>
      <c r="L59" s="1049"/>
      <c r="M59" s="1049"/>
      <c r="N59" s="1049"/>
      <c r="O59" s="1049"/>
      <c r="P59" s="1049"/>
      <c r="Q59" s="1050"/>
      <c r="R59" s="685">
        <v>-4025</v>
      </c>
      <c r="S59" s="1054"/>
      <c r="T59" s="1049">
        <f t="shared" si="22"/>
        <v>0</v>
      </c>
      <c r="U59" s="1019"/>
      <c r="V59" s="1019"/>
      <c r="W59" s="1019">
        <f aca="true" t="shared" si="24" ref="W59:W66">J59+U59</f>
        <v>-4025</v>
      </c>
      <c r="X59" s="685">
        <v>-4025</v>
      </c>
      <c r="Y59" s="447"/>
      <c r="Z59" s="447"/>
      <c r="AA59" s="1036"/>
      <c r="AB59" s="1037"/>
      <c r="AC59" s="447"/>
      <c r="AD59" s="447"/>
      <c r="AE59" s="447"/>
      <c r="AF59" s="1038"/>
      <c r="AG59" s="1038"/>
      <c r="AH59" s="798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.75">
      <c r="A60" s="97">
        <v>3</v>
      </c>
      <c r="B60" s="164" t="s">
        <v>231</v>
      </c>
      <c r="C60" s="109">
        <f t="shared" si="20"/>
        <v>0</v>
      </c>
      <c r="D60" s="119"/>
      <c r="E60" s="119"/>
      <c r="F60" s="213"/>
      <c r="G60" s="120"/>
      <c r="H60" s="338"/>
      <c r="I60" s="338"/>
      <c r="J60" s="179">
        <f t="shared" si="21"/>
        <v>18317</v>
      </c>
      <c r="K60" s="684">
        <f t="shared" si="23"/>
        <v>0</v>
      </c>
      <c r="L60" s="119"/>
      <c r="M60" s="119"/>
      <c r="N60" s="119"/>
      <c r="O60" s="119"/>
      <c r="P60" s="119"/>
      <c r="Q60" s="213"/>
      <c r="R60" s="447">
        <v>18317</v>
      </c>
      <c r="S60" s="340"/>
      <c r="T60" s="119">
        <f t="shared" si="22"/>
        <v>0</v>
      </c>
      <c r="U60" s="338"/>
      <c r="V60" s="338"/>
      <c r="W60" s="218">
        <f t="shared" si="24"/>
        <v>18317</v>
      </c>
      <c r="X60" s="447"/>
      <c r="Y60" s="447">
        <v>18317</v>
      </c>
      <c r="Z60" s="447"/>
      <c r="AA60" s="1036"/>
      <c r="AB60" s="1037"/>
      <c r="AC60" s="447"/>
      <c r="AD60" s="447"/>
      <c r="AE60" s="447"/>
      <c r="AF60" s="1038"/>
      <c r="AG60" s="1038"/>
      <c r="AH60" s="798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.75">
      <c r="A61" s="1055">
        <v>1</v>
      </c>
      <c r="B61" s="938" t="s">
        <v>235</v>
      </c>
      <c r="C61" s="1025">
        <f>D61+H61</f>
        <v>0</v>
      </c>
      <c r="D61" s="1016"/>
      <c r="E61" s="1016"/>
      <c r="F61" s="1017"/>
      <c r="G61" s="1018"/>
      <c r="H61" s="1019"/>
      <c r="I61" s="1019"/>
      <c r="J61" s="1026">
        <f t="shared" si="21"/>
        <v>-16768</v>
      </c>
      <c r="K61" s="710">
        <f t="shared" si="23"/>
        <v>0</v>
      </c>
      <c r="L61" s="1016"/>
      <c r="M61" s="1016"/>
      <c r="N61" s="1016"/>
      <c r="O61" s="1016"/>
      <c r="P61" s="1016"/>
      <c r="Q61" s="1017"/>
      <c r="R61" s="685">
        <v>-16768</v>
      </c>
      <c r="S61" s="1057"/>
      <c r="T61" s="1016">
        <f t="shared" si="22"/>
        <v>0</v>
      </c>
      <c r="U61" s="1019"/>
      <c r="V61" s="1019"/>
      <c r="W61" s="951">
        <f>J61+U61</f>
        <v>-16768</v>
      </c>
      <c r="X61" s="685">
        <v>-16768</v>
      </c>
      <c r="Y61" s="685"/>
      <c r="Z61" s="685"/>
      <c r="AA61" s="719"/>
      <c r="AB61" s="945"/>
      <c r="AC61" s="685"/>
      <c r="AD61" s="685"/>
      <c r="AE61" s="685"/>
      <c r="AF61" s="944"/>
      <c r="AG61" s="944"/>
      <c r="AH61" s="720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2.75">
      <c r="A62" s="1055">
        <v>1</v>
      </c>
      <c r="B62" s="938" t="s">
        <v>236</v>
      </c>
      <c r="C62" s="109">
        <f>D62+H62</f>
        <v>0</v>
      </c>
      <c r="D62" s="119"/>
      <c r="E62" s="119"/>
      <c r="F62" s="213"/>
      <c r="G62" s="120"/>
      <c r="H62" s="338"/>
      <c r="I62" s="338"/>
      <c r="J62" s="179">
        <f t="shared" si="21"/>
        <v>-616</v>
      </c>
      <c r="K62" s="684">
        <f t="shared" si="23"/>
        <v>0</v>
      </c>
      <c r="L62" s="119"/>
      <c r="M62" s="119"/>
      <c r="N62" s="119"/>
      <c r="O62" s="119"/>
      <c r="P62" s="119"/>
      <c r="Q62" s="213"/>
      <c r="R62" s="338"/>
      <c r="S62" s="1057">
        <v>-616</v>
      </c>
      <c r="T62" s="1016">
        <f t="shared" si="22"/>
        <v>0</v>
      </c>
      <c r="U62" s="1019">
        <v>616</v>
      </c>
      <c r="V62" s="338"/>
      <c r="W62" s="218">
        <f>J62+U62</f>
        <v>0</v>
      </c>
      <c r="X62" s="447"/>
      <c r="Y62" s="447"/>
      <c r="Z62" s="447"/>
      <c r="AA62" s="1036"/>
      <c r="AB62" s="1037"/>
      <c r="AC62" s="447"/>
      <c r="AD62" s="447"/>
      <c r="AE62" s="447"/>
      <c r="AF62" s="1038"/>
      <c r="AG62" s="1038"/>
      <c r="AH62" s="798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.75">
      <c r="A63" s="97">
        <v>3</v>
      </c>
      <c r="B63" s="164" t="s">
        <v>237</v>
      </c>
      <c r="C63" s="109">
        <f>D63+H63</f>
        <v>0</v>
      </c>
      <c r="D63" s="119"/>
      <c r="E63" s="119"/>
      <c r="F63" s="213"/>
      <c r="G63" s="120"/>
      <c r="H63" s="338"/>
      <c r="I63" s="338"/>
      <c r="J63" s="179">
        <f t="shared" si="21"/>
        <v>-27786</v>
      </c>
      <c r="K63" s="684">
        <f t="shared" si="23"/>
        <v>0</v>
      </c>
      <c r="L63" s="119"/>
      <c r="M63" s="119"/>
      <c r="N63" s="119"/>
      <c r="O63" s="119"/>
      <c r="P63" s="119"/>
      <c r="Q63" s="213"/>
      <c r="R63" s="447">
        <v>-27786</v>
      </c>
      <c r="S63" s="340"/>
      <c r="T63" s="119">
        <f t="shared" si="22"/>
        <v>-2993</v>
      </c>
      <c r="U63" s="338">
        <v>-2993</v>
      </c>
      <c r="V63" s="338"/>
      <c r="W63" s="218">
        <f>J63+U63</f>
        <v>-30779</v>
      </c>
      <c r="X63" s="447">
        <v>-30779</v>
      </c>
      <c r="Y63" s="338"/>
      <c r="Z63" s="338"/>
      <c r="AA63" s="386"/>
      <c r="AB63" s="463"/>
      <c r="AC63" s="338"/>
      <c r="AD63" s="338"/>
      <c r="AE63" s="338"/>
      <c r="AF63" s="339"/>
      <c r="AG63" s="339"/>
      <c r="AH63" s="340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>
      <c r="A64" s="97">
        <v>3</v>
      </c>
      <c r="B64" s="164" t="s">
        <v>238</v>
      </c>
      <c r="C64" s="109">
        <f>D64+H64</f>
        <v>0</v>
      </c>
      <c r="D64" s="119"/>
      <c r="E64" s="119"/>
      <c r="F64" s="213"/>
      <c r="G64" s="120"/>
      <c r="H64" s="338"/>
      <c r="I64" s="338"/>
      <c r="J64" s="179">
        <f t="shared" si="21"/>
        <v>-15000</v>
      </c>
      <c r="K64" s="684">
        <f t="shared" si="23"/>
        <v>0</v>
      </c>
      <c r="L64" s="119"/>
      <c r="M64" s="119"/>
      <c r="N64" s="119"/>
      <c r="O64" s="119"/>
      <c r="P64" s="119"/>
      <c r="Q64" s="213"/>
      <c r="R64" s="447">
        <v>-15000</v>
      </c>
      <c r="S64" s="340"/>
      <c r="T64" s="119">
        <f t="shared" si="22"/>
        <v>0</v>
      </c>
      <c r="U64" s="338"/>
      <c r="V64" s="338"/>
      <c r="W64" s="218">
        <f>J64+U64</f>
        <v>-15000</v>
      </c>
      <c r="X64" s="338"/>
      <c r="Y64" s="447">
        <v>-15000</v>
      </c>
      <c r="Z64" s="338"/>
      <c r="AA64" s="386"/>
      <c r="AB64" s="463"/>
      <c r="AC64" s="338"/>
      <c r="AD64" s="338"/>
      <c r="AE64" s="338"/>
      <c r="AF64" s="339"/>
      <c r="AG64" s="339"/>
      <c r="AH64" s="340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>
      <c r="A65" s="1055">
        <v>1</v>
      </c>
      <c r="B65" s="938" t="s">
        <v>240</v>
      </c>
      <c r="C65" s="109">
        <f t="shared" si="20"/>
        <v>0</v>
      </c>
      <c r="D65" s="119"/>
      <c r="E65" s="119"/>
      <c r="F65" s="213"/>
      <c r="G65" s="120"/>
      <c r="H65" s="338"/>
      <c r="I65" s="338"/>
      <c r="J65" s="1026">
        <f t="shared" si="21"/>
        <v>9607</v>
      </c>
      <c r="K65" s="119">
        <f t="shared" si="23"/>
        <v>0</v>
      </c>
      <c r="L65" s="119"/>
      <c r="M65" s="119"/>
      <c r="N65" s="119"/>
      <c r="O65" s="1016"/>
      <c r="P65" s="1016"/>
      <c r="Q65" s="1017"/>
      <c r="R65" s="1019"/>
      <c r="S65" s="1057">
        <v>9607</v>
      </c>
      <c r="T65" s="1016">
        <f t="shared" si="22"/>
        <v>0</v>
      </c>
      <c r="U65" s="1019">
        <v>-9607</v>
      </c>
      <c r="V65" s="1019"/>
      <c r="W65" s="951">
        <f t="shared" si="24"/>
        <v>0</v>
      </c>
      <c r="X65" s="1019"/>
      <c r="Y65" s="1019"/>
      <c r="Z65" s="1019"/>
      <c r="AA65" s="1058"/>
      <c r="AB65" s="1059"/>
      <c r="AC65" s="1019"/>
      <c r="AD65" s="1019"/>
      <c r="AE65" s="1019"/>
      <c r="AF65" s="1060"/>
      <c r="AG65" s="1060"/>
      <c r="AH65" s="105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>
      <c r="A66" s="97">
        <v>3</v>
      </c>
      <c r="B66" s="164" t="s">
        <v>241</v>
      </c>
      <c r="C66" s="109">
        <f t="shared" si="20"/>
        <v>0</v>
      </c>
      <c r="D66" s="119"/>
      <c r="E66" s="119"/>
      <c r="F66" s="213"/>
      <c r="G66" s="120"/>
      <c r="H66" s="338"/>
      <c r="I66" s="338"/>
      <c r="J66" s="179">
        <f t="shared" si="21"/>
        <v>-5000</v>
      </c>
      <c r="K66" s="119">
        <f t="shared" si="23"/>
        <v>0</v>
      </c>
      <c r="L66" s="119"/>
      <c r="M66" s="119"/>
      <c r="N66" s="119"/>
      <c r="O66" s="1016"/>
      <c r="P66" s="1016"/>
      <c r="Q66" s="1017"/>
      <c r="R66" s="1019"/>
      <c r="S66" s="798">
        <v>-5000</v>
      </c>
      <c r="T66" s="1063">
        <f t="shared" si="22"/>
        <v>-5000</v>
      </c>
      <c r="U66" s="1019"/>
      <c r="V66" s="1019"/>
      <c r="W66" s="1064">
        <f t="shared" si="24"/>
        <v>-5000</v>
      </c>
      <c r="X66" s="1019"/>
      <c r="Y66" s="447">
        <v>-5000</v>
      </c>
      <c r="Z66" s="1019"/>
      <c r="AA66" s="1021"/>
      <c r="AB66" s="1061"/>
      <c r="AC66" s="1019"/>
      <c r="AD66" s="1019"/>
      <c r="AE66" s="1019"/>
      <c r="AF66" s="1062"/>
      <c r="AG66" s="1062"/>
      <c r="AH66" s="1057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2.75">
      <c r="A67" s="97">
        <v>3</v>
      </c>
      <c r="B67" s="164" t="s">
        <v>243</v>
      </c>
      <c r="C67" s="109">
        <f t="shared" si="20"/>
        <v>0</v>
      </c>
      <c r="D67" s="110"/>
      <c r="E67" s="110"/>
      <c r="F67" s="178"/>
      <c r="G67" s="111"/>
      <c r="H67" s="218"/>
      <c r="I67" s="218"/>
      <c r="J67" s="179">
        <f t="shared" si="21"/>
        <v>-53</v>
      </c>
      <c r="K67" s="119">
        <f t="shared" si="23"/>
        <v>0</v>
      </c>
      <c r="L67" s="119"/>
      <c r="M67" s="119"/>
      <c r="N67" s="119"/>
      <c r="O67" s="110"/>
      <c r="P67" s="110"/>
      <c r="Q67" s="178"/>
      <c r="R67" s="476">
        <v>-53</v>
      </c>
      <c r="S67" s="179"/>
      <c r="T67" s="110">
        <f t="shared" si="22"/>
        <v>53</v>
      </c>
      <c r="U67" s="218">
        <v>53</v>
      </c>
      <c r="V67" s="218"/>
      <c r="W67" s="218">
        <f>J67+U67</f>
        <v>0</v>
      </c>
      <c r="X67" s="218"/>
      <c r="Y67" s="218"/>
      <c r="Z67" s="218"/>
      <c r="AA67" s="385"/>
      <c r="AB67" s="462"/>
      <c r="AC67" s="218"/>
      <c r="AD67" s="218"/>
      <c r="AE67" s="218"/>
      <c r="AF67" s="286"/>
      <c r="AG67" s="286"/>
      <c r="AH67" s="179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>
      <c r="A68" s="97">
        <v>3</v>
      </c>
      <c r="B68" s="164" t="s">
        <v>244</v>
      </c>
      <c r="C68" s="109">
        <f t="shared" si="20"/>
        <v>0</v>
      </c>
      <c r="D68" s="110"/>
      <c r="E68" s="110"/>
      <c r="F68" s="178"/>
      <c r="G68" s="111"/>
      <c r="H68" s="218"/>
      <c r="I68" s="218"/>
      <c r="J68" s="179">
        <f t="shared" si="21"/>
        <v>0</v>
      </c>
      <c r="K68" s="119">
        <f t="shared" si="23"/>
        <v>3700</v>
      </c>
      <c r="L68" s="684">
        <v>-5000</v>
      </c>
      <c r="M68" s="684"/>
      <c r="N68" s="684">
        <v>8700</v>
      </c>
      <c r="O68" s="682">
        <v>-4000</v>
      </c>
      <c r="P68" s="682"/>
      <c r="Q68" s="1042"/>
      <c r="R68" s="476">
        <v>300</v>
      </c>
      <c r="S68" s="179"/>
      <c r="T68" s="110">
        <f t="shared" si="22"/>
        <v>0</v>
      </c>
      <c r="U68" s="218"/>
      <c r="V68" s="218"/>
      <c r="W68" s="218">
        <f>J68+U68</f>
        <v>0</v>
      </c>
      <c r="X68" s="218"/>
      <c r="Y68" s="218"/>
      <c r="Z68" s="218"/>
      <c r="AA68" s="385"/>
      <c r="AB68" s="447">
        <v>-5000</v>
      </c>
      <c r="AC68" s="218"/>
      <c r="AD68" s="218"/>
      <c r="AE68" s="218"/>
      <c r="AF68" s="286"/>
      <c r="AG68" s="286"/>
      <c r="AH68" s="179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1055">
        <v>1</v>
      </c>
      <c r="B69" s="938" t="s">
        <v>245</v>
      </c>
      <c r="C69" s="183">
        <f t="shared" si="20"/>
        <v>0</v>
      </c>
      <c r="D69" s="184"/>
      <c r="E69" s="184"/>
      <c r="F69" s="180"/>
      <c r="G69" s="186"/>
      <c r="H69" s="342"/>
      <c r="I69" s="342"/>
      <c r="J69" s="1080">
        <f t="shared" si="21"/>
        <v>-14939</v>
      </c>
      <c r="K69" s="119">
        <f t="shared" si="23"/>
        <v>0</v>
      </c>
      <c r="L69" s="119"/>
      <c r="M69" s="119"/>
      <c r="N69" s="119"/>
      <c r="O69" s="184"/>
      <c r="P69" s="184"/>
      <c r="Q69" s="180"/>
      <c r="R69" s="342"/>
      <c r="S69" s="1074">
        <v>-14939</v>
      </c>
      <c r="T69" s="1075">
        <f>U69+S69</f>
        <v>-18756</v>
      </c>
      <c r="U69" s="1076">
        <v>-3817</v>
      </c>
      <c r="V69" s="1076"/>
      <c r="W69" s="1076">
        <f>J69+U69</f>
        <v>-18756</v>
      </c>
      <c r="X69" s="1077">
        <v>-18756</v>
      </c>
      <c r="Y69" s="342"/>
      <c r="Z69" s="342"/>
      <c r="AA69" s="388"/>
      <c r="AB69" s="447"/>
      <c r="AC69" s="342"/>
      <c r="AD69" s="342"/>
      <c r="AE69" s="342"/>
      <c r="AF69" s="343"/>
      <c r="AG69" s="343"/>
      <c r="AH69" s="181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97">
        <v>3</v>
      </c>
      <c r="B70" s="164" t="s">
        <v>246</v>
      </c>
      <c r="C70" s="109">
        <f t="shared" si="20"/>
        <v>0</v>
      </c>
      <c r="D70" s="110"/>
      <c r="E70" s="110"/>
      <c r="F70" s="178"/>
      <c r="G70" s="111"/>
      <c r="H70" s="218"/>
      <c r="I70" s="218"/>
      <c r="J70" s="179">
        <f t="shared" si="21"/>
        <v>-2600</v>
      </c>
      <c r="K70" s="110">
        <f t="shared" si="23"/>
        <v>0</v>
      </c>
      <c r="L70" s="110"/>
      <c r="M70" s="110"/>
      <c r="N70" s="110"/>
      <c r="O70" s="110"/>
      <c r="P70" s="110"/>
      <c r="Q70" s="178"/>
      <c r="R70" s="476">
        <v>530</v>
      </c>
      <c r="S70" s="1073">
        <v>-3130</v>
      </c>
      <c r="T70" s="184">
        <f aca="true" t="shared" si="25" ref="T70:T78">U70+S70</f>
        <v>-3130</v>
      </c>
      <c r="U70" s="342">
        <v>0</v>
      </c>
      <c r="V70" s="342"/>
      <c r="W70" s="342">
        <f aca="true" t="shared" si="26" ref="W70:W78">J70+U70</f>
        <v>-2600</v>
      </c>
      <c r="X70" s="342"/>
      <c r="Y70" s="476">
        <v>-2600</v>
      </c>
      <c r="Z70" s="218"/>
      <c r="AA70" s="385"/>
      <c r="AB70" s="682"/>
      <c r="AC70" s="218"/>
      <c r="AD70" s="218"/>
      <c r="AE70" s="218"/>
      <c r="AF70" s="286"/>
      <c r="AG70" s="343"/>
      <c r="AH70" s="181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1055">
        <v>1</v>
      </c>
      <c r="B71" s="938" t="s">
        <v>249</v>
      </c>
      <c r="C71" s="109">
        <f t="shared" si="20"/>
        <v>0</v>
      </c>
      <c r="D71" s="110"/>
      <c r="E71" s="110"/>
      <c r="F71" s="178"/>
      <c r="G71" s="111"/>
      <c r="H71" s="218"/>
      <c r="I71" s="218"/>
      <c r="J71" s="1026">
        <f t="shared" si="21"/>
        <v>2496</v>
      </c>
      <c r="K71" s="110">
        <f t="shared" si="23"/>
        <v>0</v>
      </c>
      <c r="L71" s="110"/>
      <c r="M71" s="110"/>
      <c r="N71" s="110"/>
      <c r="O71" s="110"/>
      <c r="P71" s="110"/>
      <c r="Q71" s="178"/>
      <c r="R71" s="218"/>
      <c r="S71" s="1074">
        <v>2496</v>
      </c>
      <c r="T71" s="1075">
        <f t="shared" si="25"/>
        <v>0</v>
      </c>
      <c r="U71" s="1076">
        <v>-2496</v>
      </c>
      <c r="V71" s="1076"/>
      <c r="W71" s="1076">
        <f t="shared" si="26"/>
        <v>0</v>
      </c>
      <c r="X71" s="342"/>
      <c r="Y71" s="218"/>
      <c r="Z71" s="218"/>
      <c r="AA71" s="385"/>
      <c r="AB71" s="682"/>
      <c r="AC71" s="218"/>
      <c r="AD71" s="218"/>
      <c r="AE71" s="218"/>
      <c r="AF71" s="286"/>
      <c r="AG71" s="343"/>
      <c r="AH71" s="181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97">
        <v>3</v>
      </c>
      <c r="B72" s="164" t="s">
        <v>251</v>
      </c>
      <c r="C72" s="109">
        <f t="shared" si="20"/>
        <v>0</v>
      </c>
      <c r="D72" s="110"/>
      <c r="E72" s="110"/>
      <c r="F72" s="178"/>
      <c r="G72" s="111"/>
      <c r="H72" s="218"/>
      <c r="I72" s="218"/>
      <c r="J72" s="179">
        <f t="shared" si="21"/>
        <v>0</v>
      </c>
      <c r="K72" s="110">
        <f t="shared" si="23"/>
        <v>0</v>
      </c>
      <c r="L72" s="110"/>
      <c r="M72" s="110"/>
      <c r="N72" s="110"/>
      <c r="O72" s="110"/>
      <c r="P72" s="110"/>
      <c r="Q72" s="178"/>
      <c r="R72" s="218"/>
      <c r="S72" s="1074"/>
      <c r="T72" s="1083">
        <f t="shared" si="25"/>
        <v>9251</v>
      </c>
      <c r="U72" s="1082">
        <v>9251</v>
      </c>
      <c r="V72" s="1082"/>
      <c r="W72" s="1082">
        <f t="shared" si="26"/>
        <v>9251</v>
      </c>
      <c r="X72" s="342"/>
      <c r="Y72" s="476">
        <v>9251</v>
      </c>
      <c r="Z72" s="218"/>
      <c r="AA72" s="385"/>
      <c r="AB72" s="682"/>
      <c r="AC72" s="218"/>
      <c r="AD72" s="218"/>
      <c r="AE72" s="218"/>
      <c r="AF72" s="286"/>
      <c r="AG72" s="343"/>
      <c r="AH72" s="181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1055">
        <v>1</v>
      </c>
      <c r="B73" s="938" t="s">
        <v>252</v>
      </c>
      <c r="C73" s="109">
        <f t="shared" si="20"/>
        <v>0</v>
      </c>
      <c r="D73" s="110"/>
      <c r="E73" s="110"/>
      <c r="F73" s="178"/>
      <c r="G73" s="111"/>
      <c r="H73" s="218"/>
      <c r="I73" s="218"/>
      <c r="J73" s="1026">
        <f t="shared" si="21"/>
        <v>-2290</v>
      </c>
      <c r="K73" s="110">
        <f t="shared" si="23"/>
        <v>0</v>
      </c>
      <c r="L73" s="110"/>
      <c r="M73" s="110"/>
      <c r="N73" s="110"/>
      <c r="O73" s="110"/>
      <c r="P73" s="110"/>
      <c r="Q73" s="178"/>
      <c r="R73" s="767">
        <v>-2290</v>
      </c>
      <c r="S73" s="1074"/>
      <c r="T73" s="1075">
        <f t="shared" si="25"/>
        <v>0</v>
      </c>
      <c r="U73" s="1076"/>
      <c r="V73" s="1076"/>
      <c r="W73" s="1076">
        <f t="shared" si="26"/>
        <v>-2290</v>
      </c>
      <c r="X73" s="1077">
        <v>-2290</v>
      </c>
      <c r="Y73" s="218"/>
      <c r="Z73" s="218"/>
      <c r="AA73" s="385"/>
      <c r="AB73" s="682"/>
      <c r="AC73" s="218"/>
      <c r="AD73" s="218"/>
      <c r="AE73" s="218"/>
      <c r="AF73" s="286"/>
      <c r="AG73" s="343"/>
      <c r="AH73" s="181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1055">
        <v>1</v>
      </c>
      <c r="B74" s="938" t="s">
        <v>254</v>
      </c>
      <c r="C74" s="109">
        <f t="shared" si="20"/>
        <v>0</v>
      </c>
      <c r="D74" s="110"/>
      <c r="E74" s="110"/>
      <c r="F74" s="178"/>
      <c r="G74" s="111"/>
      <c r="H74" s="218"/>
      <c r="I74" s="218"/>
      <c r="J74" s="1026">
        <f t="shared" si="21"/>
        <v>1380</v>
      </c>
      <c r="K74" s="950">
        <f t="shared" si="23"/>
        <v>0</v>
      </c>
      <c r="L74" s="950"/>
      <c r="M74" s="950"/>
      <c r="N74" s="950"/>
      <c r="O74" s="950"/>
      <c r="P74" s="950"/>
      <c r="Q74" s="1027"/>
      <c r="R74" s="951"/>
      <c r="S74" s="1074">
        <v>1380</v>
      </c>
      <c r="T74" s="1075">
        <f t="shared" si="25"/>
        <v>-14328</v>
      </c>
      <c r="U74" s="1076">
        <v>-15708</v>
      </c>
      <c r="V74" s="1076"/>
      <c r="W74" s="1076">
        <f t="shared" si="26"/>
        <v>-14328</v>
      </c>
      <c r="X74" s="1077">
        <v>-14328</v>
      </c>
      <c r="Y74" s="951"/>
      <c r="Z74" s="218"/>
      <c r="AA74" s="385"/>
      <c r="AB74" s="682"/>
      <c r="AC74" s="218"/>
      <c r="AD74" s="218"/>
      <c r="AE74" s="218"/>
      <c r="AF74" s="286"/>
      <c r="AG74" s="343"/>
      <c r="AH74" s="18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97">
        <v>3</v>
      </c>
      <c r="B75" s="164" t="s">
        <v>255</v>
      </c>
      <c r="C75" s="109">
        <f t="shared" si="20"/>
        <v>0</v>
      </c>
      <c r="D75" s="110"/>
      <c r="E75" s="110"/>
      <c r="F75" s="178"/>
      <c r="G75" s="111"/>
      <c r="H75" s="218"/>
      <c r="I75" s="218"/>
      <c r="J75" s="179">
        <f t="shared" si="21"/>
        <v>-1666</v>
      </c>
      <c r="K75" s="110">
        <f t="shared" si="23"/>
        <v>-1220</v>
      </c>
      <c r="L75" s="682">
        <v>-1220</v>
      </c>
      <c r="M75" s="682"/>
      <c r="N75" s="682">
        <v>0</v>
      </c>
      <c r="O75" s="682">
        <v>-422</v>
      </c>
      <c r="P75" s="682">
        <v>-24</v>
      </c>
      <c r="Q75" s="178"/>
      <c r="R75" s="218"/>
      <c r="S75" s="1074"/>
      <c r="T75" s="1083">
        <f t="shared" si="25"/>
        <v>0</v>
      </c>
      <c r="U75" s="1082"/>
      <c r="V75" s="1082"/>
      <c r="W75" s="1082">
        <f t="shared" si="26"/>
        <v>-1666</v>
      </c>
      <c r="X75" s="342"/>
      <c r="Y75" s="476">
        <v>-1666</v>
      </c>
      <c r="Z75" s="218"/>
      <c r="AA75" s="385"/>
      <c r="AB75" s="682">
        <v>-1220</v>
      </c>
      <c r="AC75" s="218"/>
      <c r="AD75" s="218"/>
      <c r="AE75" s="218"/>
      <c r="AF75" s="286"/>
      <c r="AG75" s="343"/>
      <c r="AH75" s="18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s="97">
        <v>3</v>
      </c>
      <c r="B76" s="164" t="s">
        <v>256</v>
      </c>
      <c r="C76" s="109">
        <f t="shared" si="20"/>
        <v>0</v>
      </c>
      <c r="D76" s="110"/>
      <c r="E76" s="110"/>
      <c r="F76" s="178"/>
      <c r="G76" s="111"/>
      <c r="H76" s="218"/>
      <c r="I76" s="218"/>
      <c r="J76" s="179">
        <f t="shared" si="21"/>
        <v>500</v>
      </c>
      <c r="K76" s="110">
        <f t="shared" si="23"/>
        <v>0</v>
      </c>
      <c r="L76" s="110"/>
      <c r="M76" s="110"/>
      <c r="N76" s="110"/>
      <c r="O76" s="110"/>
      <c r="P76" s="110"/>
      <c r="Q76" s="178"/>
      <c r="R76" s="218"/>
      <c r="S76" s="1073">
        <v>500</v>
      </c>
      <c r="T76" s="1083">
        <f t="shared" si="25"/>
        <v>500</v>
      </c>
      <c r="U76" s="1082"/>
      <c r="V76" s="1082"/>
      <c r="W76" s="1082">
        <f t="shared" si="26"/>
        <v>500</v>
      </c>
      <c r="X76" s="342"/>
      <c r="Y76" s="476">
        <v>500</v>
      </c>
      <c r="Z76" s="218"/>
      <c r="AA76" s="385"/>
      <c r="AB76" s="682"/>
      <c r="AC76" s="218"/>
      <c r="AD76" s="218"/>
      <c r="AE76" s="218"/>
      <c r="AF76" s="286"/>
      <c r="AG76" s="343"/>
      <c r="AH76" s="18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s="97">
        <v>3</v>
      </c>
      <c r="B77" s="164" t="s">
        <v>258</v>
      </c>
      <c r="C77" s="109">
        <f t="shared" si="20"/>
        <v>0</v>
      </c>
      <c r="D77" s="110"/>
      <c r="E77" s="110"/>
      <c r="F77" s="178"/>
      <c r="G77" s="111"/>
      <c r="H77" s="218"/>
      <c r="I77" s="218"/>
      <c r="J77" s="179">
        <f t="shared" si="21"/>
        <v>13563</v>
      </c>
      <c r="K77" s="110">
        <f t="shared" si="23"/>
        <v>0</v>
      </c>
      <c r="L77" s="110"/>
      <c r="M77" s="110"/>
      <c r="N77" s="110"/>
      <c r="O77" s="110"/>
      <c r="P77" s="110"/>
      <c r="Q77" s="178"/>
      <c r="R77" s="218"/>
      <c r="S77" s="1073">
        <v>13563</v>
      </c>
      <c r="T77" s="1083">
        <f t="shared" si="25"/>
        <v>25365</v>
      </c>
      <c r="U77" s="1082">
        <v>11802</v>
      </c>
      <c r="V77" s="1082"/>
      <c r="W77" s="1082">
        <f t="shared" si="26"/>
        <v>25365</v>
      </c>
      <c r="X77" s="342"/>
      <c r="Y77" s="476">
        <v>25365</v>
      </c>
      <c r="Z77" s="218"/>
      <c r="AA77" s="385"/>
      <c r="AB77" s="682"/>
      <c r="AC77" s="218"/>
      <c r="AD77" s="218"/>
      <c r="AE77" s="218"/>
      <c r="AF77" s="286"/>
      <c r="AG77" s="343"/>
      <c r="AH77" s="181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s="954">
        <v>1</v>
      </c>
      <c r="B78" s="923" t="s">
        <v>260</v>
      </c>
      <c r="C78" s="109">
        <f t="shared" si="20"/>
        <v>0</v>
      </c>
      <c r="D78" s="110"/>
      <c r="E78" s="110"/>
      <c r="F78" s="178"/>
      <c r="G78" s="111"/>
      <c r="H78" s="218"/>
      <c r="I78" s="218"/>
      <c r="J78" s="1026">
        <f t="shared" si="21"/>
        <v>2000</v>
      </c>
      <c r="K78" s="110">
        <f t="shared" si="23"/>
        <v>0</v>
      </c>
      <c r="L78" s="110"/>
      <c r="M78" s="110"/>
      <c r="N78" s="110"/>
      <c r="O78" s="110"/>
      <c r="P78" s="110"/>
      <c r="Q78" s="178"/>
      <c r="R78" s="218"/>
      <c r="S78" s="686">
        <v>2000</v>
      </c>
      <c r="T78" s="950">
        <f t="shared" si="25"/>
        <v>0</v>
      </c>
      <c r="U78" s="951">
        <v>-2000</v>
      </c>
      <c r="V78" s="951"/>
      <c r="W78" s="951">
        <f t="shared" si="26"/>
        <v>0</v>
      </c>
      <c r="X78" s="218"/>
      <c r="Y78" s="476"/>
      <c r="Z78" s="218"/>
      <c r="AA78" s="385"/>
      <c r="AB78" s="682"/>
      <c r="AC78" s="218"/>
      <c r="AD78" s="218"/>
      <c r="AE78" s="218"/>
      <c r="AF78" s="286"/>
      <c r="AG78" s="286"/>
      <c r="AH78" s="179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3.5" thickBot="1">
      <c r="A79" s="954">
        <v>1</v>
      </c>
      <c r="B79" s="923" t="s">
        <v>261</v>
      </c>
      <c r="C79" s="1104">
        <f t="shared" si="20"/>
        <v>0</v>
      </c>
      <c r="D79" s="1105"/>
      <c r="E79" s="1105"/>
      <c r="F79" s="1106"/>
      <c r="G79" s="1107"/>
      <c r="H79" s="1108"/>
      <c r="I79" s="1108"/>
      <c r="J79" s="1115">
        <f t="shared" si="21"/>
        <v>7507</v>
      </c>
      <c r="K79" s="1116">
        <f t="shared" si="23"/>
        <v>0</v>
      </c>
      <c r="L79" s="1116"/>
      <c r="M79" s="1116"/>
      <c r="N79" s="1116"/>
      <c r="O79" s="1116"/>
      <c r="P79" s="1116"/>
      <c r="Q79" s="1117"/>
      <c r="R79" s="1118"/>
      <c r="S79" s="1115">
        <v>7507</v>
      </c>
      <c r="T79" s="1116">
        <f>S79+U79</f>
        <v>0</v>
      </c>
      <c r="U79" s="1118">
        <v>-7507</v>
      </c>
      <c r="V79" s="1118"/>
      <c r="W79" s="1118">
        <f>J79+U79</f>
        <v>0</v>
      </c>
      <c r="X79" s="1108"/>
      <c r="Y79" s="1108"/>
      <c r="Z79" s="1108"/>
      <c r="AA79" s="1110"/>
      <c r="AB79" s="1111"/>
      <c r="AC79" s="1108"/>
      <c r="AD79" s="1108"/>
      <c r="AE79" s="1108"/>
      <c r="AF79" s="1112"/>
      <c r="AG79" s="1112"/>
      <c r="AH79" s="1109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3.5" thickBot="1">
      <c r="A80" s="116">
        <v>3</v>
      </c>
      <c r="B80" s="34" t="s">
        <v>39</v>
      </c>
      <c r="C80" s="85">
        <f aca="true" t="shared" si="27" ref="C80:X80">SUM(C58:C79)</f>
        <v>0</v>
      </c>
      <c r="D80" s="85">
        <f t="shared" si="27"/>
        <v>0</v>
      </c>
      <c r="E80" s="85"/>
      <c r="F80" s="137"/>
      <c r="G80" s="94"/>
      <c r="H80" s="87">
        <f t="shared" si="27"/>
        <v>0</v>
      </c>
      <c r="I80" s="87">
        <f t="shared" si="27"/>
        <v>0</v>
      </c>
      <c r="J80" s="117">
        <f t="shared" si="27"/>
        <v>-35273</v>
      </c>
      <c r="K80" s="85">
        <f t="shared" si="27"/>
        <v>2834</v>
      </c>
      <c r="L80" s="85">
        <f t="shared" si="27"/>
        <v>-5945</v>
      </c>
      <c r="M80" s="85"/>
      <c r="N80" s="85">
        <f t="shared" si="27"/>
        <v>8779</v>
      </c>
      <c r="O80" s="85">
        <f t="shared" si="27"/>
        <v>-4329</v>
      </c>
      <c r="P80" s="85">
        <f t="shared" si="27"/>
        <v>-18</v>
      </c>
      <c r="Q80" s="137">
        <f t="shared" si="27"/>
        <v>0</v>
      </c>
      <c r="R80" s="87">
        <f t="shared" si="27"/>
        <v>-47228</v>
      </c>
      <c r="S80" s="117">
        <f t="shared" si="27"/>
        <v>13468</v>
      </c>
      <c r="T80" s="86">
        <f t="shared" si="27"/>
        <v>-9038</v>
      </c>
      <c r="U80" s="87">
        <f t="shared" si="27"/>
        <v>-22506</v>
      </c>
      <c r="V80" s="87">
        <f t="shared" si="27"/>
        <v>0</v>
      </c>
      <c r="W80" s="87">
        <f t="shared" si="27"/>
        <v>-57779</v>
      </c>
      <c r="X80" s="87">
        <f t="shared" si="27"/>
        <v>-87646</v>
      </c>
      <c r="Y80" s="87">
        <f>SUM(Y58:Y79)</f>
        <v>29867</v>
      </c>
      <c r="Z80" s="87"/>
      <c r="AA80" s="175">
        <f>SUM(AA58:AA79)</f>
        <v>0</v>
      </c>
      <c r="AB80" s="86">
        <f aca="true" t="shared" si="28" ref="AB80:AH80">SUM(AB58:AB79)</f>
        <v>-5945</v>
      </c>
      <c r="AC80" s="87">
        <f t="shared" si="28"/>
        <v>0</v>
      </c>
      <c r="AD80" s="87">
        <f t="shared" si="28"/>
        <v>0</v>
      </c>
      <c r="AE80" s="87">
        <f t="shared" si="28"/>
        <v>0</v>
      </c>
      <c r="AF80" s="87">
        <f t="shared" si="28"/>
        <v>0</v>
      </c>
      <c r="AG80" s="87">
        <f t="shared" si="28"/>
        <v>-4770</v>
      </c>
      <c r="AH80" s="117">
        <f t="shared" si="28"/>
        <v>0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5" ht="13.5" thickBot="1">
      <c r="A81" s="2"/>
      <c r="B81" s="43" t="s">
        <v>40</v>
      </c>
      <c r="C81" s="89">
        <f>C29+C43+C57+C80</f>
        <v>-27877</v>
      </c>
      <c r="D81" s="136">
        <f>D29+D43+D57+D80</f>
        <v>0</v>
      </c>
      <c r="E81" s="136">
        <f>E29+E43+E57+E80</f>
        <v>-27877</v>
      </c>
      <c r="F81" s="136">
        <f>F29+F43+F57+F80</f>
        <v>0</v>
      </c>
      <c r="G81" s="344"/>
      <c r="H81" s="140">
        <f>H29+H43+H57+H80</f>
        <v>0</v>
      </c>
      <c r="I81" s="345">
        <f>I29+I43+I57+I80</f>
        <v>0</v>
      </c>
      <c r="J81" s="346">
        <f>K81+O81+P81+Q81+R81+S81</f>
        <v>285560</v>
      </c>
      <c r="K81" s="89">
        <f>K29+K43+K57+K80</f>
        <v>6648</v>
      </c>
      <c r="L81" s="136">
        <f>L29+L43+L57+L80</f>
        <v>-2293</v>
      </c>
      <c r="M81" s="136"/>
      <c r="N81" s="140">
        <f aca="true" t="shared" si="29" ref="N81:AH81">N29+N43+N57+N80</f>
        <v>8941</v>
      </c>
      <c r="O81" s="140">
        <f t="shared" si="29"/>
        <v>-3087</v>
      </c>
      <c r="P81" s="140">
        <f t="shared" si="29"/>
        <v>55</v>
      </c>
      <c r="Q81" s="214">
        <f t="shared" si="29"/>
        <v>0</v>
      </c>
      <c r="R81" s="345">
        <f t="shared" si="29"/>
        <v>68628</v>
      </c>
      <c r="S81" s="346">
        <f t="shared" si="29"/>
        <v>213316</v>
      </c>
      <c r="T81" s="466">
        <f t="shared" si="29"/>
        <v>322574</v>
      </c>
      <c r="U81" s="140">
        <f t="shared" si="29"/>
        <v>109258</v>
      </c>
      <c r="V81" s="140">
        <f t="shared" si="29"/>
        <v>0</v>
      </c>
      <c r="W81" s="345">
        <f t="shared" si="29"/>
        <v>394818</v>
      </c>
      <c r="X81" s="345">
        <f t="shared" si="29"/>
        <v>-12011</v>
      </c>
      <c r="Y81" s="345">
        <f t="shared" si="29"/>
        <v>406829</v>
      </c>
      <c r="Z81" s="345">
        <f t="shared" si="29"/>
        <v>0</v>
      </c>
      <c r="AA81" s="389">
        <f t="shared" si="29"/>
        <v>0</v>
      </c>
      <c r="AB81" s="466">
        <f t="shared" si="29"/>
        <v>-2293</v>
      </c>
      <c r="AC81" s="345">
        <f t="shared" si="29"/>
        <v>63520</v>
      </c>
      <c r="AD81" s="345">
        <f t="shared" si="29"/>
        <v>63520</v>
      </c>
      <c r="AE81" s="345">
        <f t="shared" si="29"/>
        <v>0</v>
      </c>
      <c r="AF81" s="345">
        <f t="shared" si="29"/>
        <v>0</v>
      </c>
      <c r="AG81" s="345">
        <f t="shared" si="29"/>
        <v>-34567</v>
      </c>
      <c r="AH81" s="346">
        <f t="shared" si="29"/>
        <v>0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3.5" thickBot="1">
      <c r="A82" s="32"/>
      <c r="B82" s="265" t="s">
        <v>227</v>
      </c>
      <c r="C82" s="266">
        <f aca="true" t="shared" si="30" ref="C82:L82">C15+C81</f>
        <v>916375</v>
      </c>
      <c r="D82" s="267">
        <f t="shared" si="30"/>
        <v>493667</v>
      </c>
      <c r="E82" s="434">
        <f t="shared" si="30"/>
        <v>162974</v>
      </c>
      <c r="F82" s="644">
        <f t="shared" si="30"/>
        <v>94229</v>
      </c>
      <c r="G82" s="267">
        <f t="shared" si="30"/>
        <v>165505</v>
      </c>
      <c r="H82" s="268">
        <f t="shared" si="30"/>
        <v>0</v>
      </c>
      <c r="I82" s="348">
        <f t="shared" si="30"/>
        <v>0</v>
      </c>
      <c r="J82" s="349">
        <f t="shared" si="30"/>
        <v>2700973</v>
      </c>
      <c r="K82" s="266">
        <f t="shared" si="30"/>
        <v>669559</v>
      </c>
      <c r="L82" s="270">
        <f t="shared" si="30"/>
        <v>641890</v>
      </c>
      <c r="M82" s="271"/>
      <c r="N82" s="268">
        <f aca="true" t="shared" si="31" ref="N82:AH82">N15+N81</f>
        <v>27669</v>
      </c>
      <c r="O82" s="268">
        <f t="shared" si="31"/>
        <v>222303</v>
      </c>
      <c r="P82" s="268">
        <f t="shared" si="31"/>
        <v>12939</v>
      </c>
      <c r="Q82" s="524">
        <f t="shared" si="31"/>
        <v>0</v>
      </c>
      <c r="R82" s="268">
        <f t="shared" si="31"/>
        <v>909746</v>
      </c>
      <c r="S82" s="670">
        <f t="shared" si="31"/>
        <v>886426</v>
      </c>
      <c r="T82" s="502">
        <f t="shared" si="31"/>
        <v>2174392</v>
      </c>
      <c r="U82" s="348">
        <f t="shared" si="31"/>
        <v>1287966</v>
      </c>
      <c r="V82" s="348">
        <f t="shared" si="31"/>
        <v>0</v>
      </c>
      <c r="W82" s="348">
        <f t="shared" si="31"/>
        <v>3988939</v>
      </c>
      <c r="X82" s="348">
        <f t="shared" si="31"/>
        <v>890794</v>
      </c>
      <c r="Y82" s="348">
        <f t="shared" si="31"/>
        <v>3098145</v>
      </c>
      <c r="Z82" s="424">
        <f t="shared" si="31"/>
        <v>0</v>
      </c>
      <c r="AA82" s="390">
        <f t="shared" si="31"/>
        <v>0</v>
      </c>
      <c r="AB82" s="347">
        <f t="shared" si="31"/>
        <v>641890</v>
      </c>
      <c r="AC82" s="348">
        <f t="shared" si="31"/>
        <v>63520</v>
      </c>
      <c r="AD82" s="348">
        <f t="shared" si="31"/>
        <v>63520</v>
      </c>
      <c r="AE82" s="424">
        <f t="shared" si="31"/>
        <v>3000</v>
      </c>
      <c r="AF82" s="348">
        <f t="shared" si="31"/>
        <v>730</v>
      </c>
      <c r="AG82" s="348">
        <f t="shared" si="31"/>
        <v>189907</v>
      </c>
      <c r="AH82" s="349">
        <f t="shared" si="31"/>
        <v>101065</v>
      </c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3.5" thickBot="1">
      <c r="A83" s="32"/>
      <c r="B83" s="43" t="s">
        <v>51</v>
      </c>
      <c r="C83" s="79">
        <f aca="true" t="shared" si="32" ref="C83:V83">C16</f>
        <v>0</v>
      </c>
      <c r="D83" s="146">
        <f t="shared" si="32"/>
        <v>0</v>
      </c>
      <c r="E83" s="435">
        <f t="shared" si="32"/>
        <v>0</v>
      </c>
      <c r="F83" s="645">
        <f t="shared" si="32"/>
        <v>0</v>
      </c>
      <c r="G83" s="146"/>
      <c r="H83" s="143">
        <f t="shared" si="32"/>
        <v>0</v>
      </c>
      <c r="I83" s="142">
        <f t="shared" si="32"/>
        <v>0</v>
      </c>
      <c r="J83" s="142">
        <f>K83+O83+P83+Q83+R83+S83</f>
        <v>92146</v>
      </c>
      <c r="K83" s="79">
        <f t="shared" si="32"/>
        <v>0</v>
      </c>
      <c r="L83" s="141">
        <f t="shared" si="32"/>
        <v>0</v>
      </c>
      <c r="M83" s="232"/>
      <c r="N83" s="143">
        <f t="shared" si="32"/>
        <v>0</v>
      </c>
      <c r="O83" s="143">
        <f t="shared" si="32"/>
        <v>0</v>
      </c>
      <c r="P83" s="143">
        <f t="shared" si="32"/>
        <v>0</v>
      </c>
      <c r="Q83" s="497">
        <f t="shared" si="32"/>
        <v>0</v>
      </c>
      <c r="R83" s="527">
        <v>76563</v>
      </c>
      <c r="S83" s="671">
        <v>15583</v>
      </c>
      <c r="T83" s="665">
        <f>S83+U83</f>
        <v>34146</v>
      </c>
      <c r="U83" s="527">
        <v>18563</v>
      </c>
      <c r="V83" s="528">
        <f t="shared" si="32"/>
        <v>0</v>
      </c>
      <c r="W83" s="528">
        <f>R83+T83</f>
        <v>110709</v>
      </c>
      <c r="X83" s="527">
        <f>W83</f>
        <v>110709</v>
      </c>
      <c r="Y83" s="351">
        <f>Y16</f>
        <v>0</v>
      </c>
      <c r="Z83" s="351">
        <v>0</v>
      </c>
      <c r="AA83" s="391">
        <f aca="true" t="shared" si="33" ref="AA83:AG83">AA16</f>
        <v>0</v>
      </c>
      <c r="AB83" s="350">
        <f t="shared" si="33"/>
        <v>0</v>
      </c>
      <c r="AC83" s="351">
        <f t="shared" si="33"/>
        <v>0</v>
      </c>
      <c r="AD83" s="351">
        <f t="shared" si="33"/>
        <v>0</v>
      </c>
      <c r="AE83" s="351">
        <f t="shared" si="33"/>
        <v>0</v>
      </c>
      <c r="AF83" s="351">
        <f t="shared" si="33"/>
        <v>0</v>
      </c>
      <c r="AG83" s="351">
        <f t="shared" si="33"/>
        <v>0</v>
      </c>
      <c r="AH83" s="783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2.75">
      <c r="A84" s="529"/>
      <c r="B84" s="838" t="s">
        <v>186</v>
      </c>
      <c r="C84" s="839"/>
      <c r="D84" s="840"/>
      <c r="E84" s="839"/>
      <c r="F84" s="839"/>
      <c r="G84" s="841"/>
      <c r="H84" s="839"/>
      <c r="I84" s="839"/>
      <c r="J84" s="839">
        <f aca="true" t="shared" si="34" ref="J84:P84">J82+J18+J48</f>
        <v>2496075</v>
      </c>
      <c r="K84" s="839">
        <f t="shared" si="34"/>
        <v>669559</v>
      </c>
      <c r="L84" s="839">
        <f t="shared" si="34"/>
        <v>641890</v>
      </c>
      <c r="M84" s="839">
        <f t="shared" si="34"/>
        <v>0</v>
      </c>
      <c r="N84" s="839">
        <f t="shared" si="34"/>
        <v>27669</v>
      </c>
      <c r="O84" s="839">
        <f t="shared" si="34"/>
        <v>222303</v>
      </c>
      <c r="P84" s="839">
        <f t="shared" si="34"/>
        <v>12939</v>
      </c>
      <c r="Q84" s="839">
        <f>Q82+Q18</f>
        <v>0</v>
      </c>
      <c r="R84" s="839">
        <f>R82+R18+R48</f>
        <v>767008</v>
      </c>
      <c r="S84" s="839">
        <f>S82+S18+S48</f>
        <v>824266</v>
      </c>
      <c r="T84" s="839">
        <f>T82+T18+T48</f>
        <v>2011391</v>
      </c>
      <c r="U84" s="839">
        <f>U82+U18+U48</f>
        <v>1187125</v>
      </c>
      <c r="V84" s="839">
        <f>V82+V18</f>
        <v>0</v>
      </c>
      <c r="W84" s="839">
        <f>W82+W18+W48</f>
        <v>3683200</v>
      </c>
      <c r="X84" s="839">
        <f aca="true" t="shared" si="35" ref="X84:AH84">X82+X18+X48</f>
        <v>742564</v>
      </c>
      <c r="Y84" s="839">
        <f t="shared" si="35"/>
        <v>2940636</v>
      </c>
      <c r="Z84" s="839">
        <f t="shared" si="35"/>
        <v>0</v>
      </c>
      <c r="AA84" s="839">
        <f t="shared" si="35"/>
        <v>0</v>
      </c>
      <c r="AB84" s="842">
        <f t="shared" si="35"/>
        <v>641890</v>
      </c>
      <c r="AC84" s="842">
        <f t="shared" si="35"/>
        <v>63520</v>
      </c>
      <c r="AD84" s="842">
        <f t="shared" si="35"/>
        <v>63520</v>
      </c>
      <c r="AE84" s="842">
        <f t="shared" si="35"/>
        <v>3000</v>
      </c>
      <c r="AF84" s="842">
        <f t="shared" si="35"/>
        <v>730</v>
      </c>
      <c r="AG84" s="842">
        <f t="shared" si="35"/>
        <v>189907</v>
      </c>
      <c r="AH84" s="842">
        <f t="shared" si="35"/>
        <v>101065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2.75">
      <c r="A85" s="533"/>
      <c r="B85" s="843" t="s">
        <v>51</v>
      </c>
      <c r="C85" s="844"/>
      <c r="D85" s="844"/>
      <c r="E85" s="844"/>
      <c r="F85" s="844"/>
      <c r="G85" s="844"/>
      <c r="H85" s="844"/>
      <c r="I85" s="844"/>
      <c r="J85" s="844">
        <f>R85+S85</f>
        <v>33164</v>
      </c>
      <c r="K85" s="844"/>
      <c r="L85" s="844"/>
      <c r="M85" s="844"/>
      <c r="N85" s="844"/>
      <c r="O85" s="844"/>
      <c r="P85" s="844"/>
      <c r="Q85" s="844"/>
      <c r="R85" s="844">
        <f>108297-24751-51812</f>
        <v>31734</v>
      </c>
      <c r="S85" s="844">
        <f>17013-13955-1628</f>
        <v>1430</v>
      </c>
      <c r="T85" s="844">
        <f>S85+U85</f>
        <v>4781</v>
      </c>
      <c r="U85" s="844">
        <f>21914-3563-15000</f>
        <v>3351</v>
      </c>
      <c r="V85" s="844"/>
      <c r="W85" s="844">
        <f>J85+U85</f>
        <v>36515</v>
      </c>
      <c r="X85" s="844">
        <f>147224-42269-68440</f>
        <v>36515</v>
      </c>
      <c r="Y85" s="844"/>
      <c r="Z85" s="844"/>
      <c r="AA85" s="845"/>
      <c r="AB85" s="845"/>
      <c r="AC85" s="845"/>
      <c r="AD85" s="845"/>
      <c r="AE85" s="845"/>
      <c r="AF85" s="845"/>
      <c r="AG85" s="845"/>
      <c r="AH85" s="845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2.75">
      <c r="A86" s="51">
        <v>1</v>
      </c>
      <c r="B86" s="52" t="s">
        <v>19</v>
      </c>
      <c r="C86" s="70">
        <f>D86+E86+F86+G86</f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2">
        <v>0</v>
      </c>
      <c r="J86" s="70">
        <f>K86+O86+P86+Q86+R86+S86</f>
        <v>-44117</v>
      </c>
      <c r="K86" s="71">
        <f>L86+N86</f>
        <v>0</v>
      </c>
      <c r="L86" s="71">
        <v>0</v>
      </c>
      <c r="M86" s="71"/>
      <c r="N86" s="71">
        <v>0</v>
      </c>
      <c r="O86" s="71">
        <v>0</v>
      </c>
      <c r="P86" s="71">
        <v>0</v>
      </c>
      <c r="Q86" s="71">
        <f>Q20</f>
        <v>0</v>
      </c>
      <c r="R86" s="71">
        <f>R37+R59+R61+R73</f>
        <v>-27444</v>
      </c>
      <c r="S86" s="71">
        <f>S26+S32+S33+S40+S44+S45+S47+S52+S55+S62+S65+S69+S71+S74+S78+S79</f>
        <v>-16673</v>
      </c>
      <c r="T86" s="95">
        <f>S86+U86</f>
        <v>-37428</v>
      </c>
      <c r="U86" s="150">
        <f>U26+U32+U35+U40+U44+U45+U47+U52+U54+U55+U62+U65+U69+U71+U74+U78+U79</f>
        <v>-20755</v>
      </c>
      <c r="V86" s="72">
        <v>0</v>
      </c>
      <c r="W86" s="323">
        <f>U86+J86</f>
        <v>-64872</v>
      </c>
      <c r="X86" s="95">
        <f>X32+X33+X35+X37+X54+X55+X59+X61+X69+X73+X74</f>
        <v>-64872</v>
      </c>
      <c r="Y86" s="150">
        <f>Y30</f>
        <v>0</v>
      </c>
      <c r="Z86" s="150">
        <v>0</v>
      </c>
      <c r="AA86" s="394">
        <v>0</v>
      </c>
      <c r="AB86" s="409">
        <v>0</v>
      </c>
      <c r="AC86" s="287">
        <v>0</v>
      </c>
      <c r="AD86" s="287">
        <v>0</v>
      </c>
      <c r="AE86" s="287">
        <v>0</v>
      </c>
      <c r="AF86" s="287">
        <v>0</v>
      </c>
      <c r="AG86" s="287">
        <v>0</v>
      </c>
      <c r="AH86" s="357">
        <v>0</v>
      </c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2.75">
      <c r="A87" s="49">
        <v>3</v>
      </c>
      <c r="B87" s="46" t="s">
        <v>19</v>
      </c>
      <c r="C87" s="65">
        <f>D87+E87+F87+G87</f>
        <v>-27877</v>
      </c>
      <c r="D87" s="68">
        <v>0</v>
      </c>
      <c r="E87" s="68">
        <f>E53</f>
        <v>-27877</v>
      </c>
      <c r="F87" s="68">
        <v>0</v>
      </c>
      <c r="G87" s="68">
        <v>0</v>
      </c>
      <c r="H87" s="68">
        <v>0</v>
      </c>
      <c r="I87" s="74">
        <v>0</v>
      </c>
      <c r="J87" s="73">
        <f>K87+O87+P87+Q87+R87+S87</f>
        <v>329677</v>
      </c>
      <c r="K87" s="68">
        <f>L87+N87</f>
        <v>6648</v>
      </c>
      <c r="L87" s="68">
        <f>L25+L36+L38+L39+L58+L68+L75</f>
        <v>-2293</v>
      </c>
      <c r="M87" s="68"/>
      <c r="N87" s="68">
        <f>N25+N58+N68+N75</f>
        <v>8941</v>
      </c>
      <c r="O87" s="68">
        <f>O25+O36+O38+O39+O58+O68+O75</f>
        <v>-3087</v>
      </c>
      <c r="P87" s="68">
        <f>P25+P36+P38+P39+P58+P75</f>
        <v>55</v>
      </c>
      <c r="Q87" s="68">
        <f>Q22</f>
        <v>0</v>
      </c>
      <c r="R87" s="68">
        <f>R19+R22+R25+R31+R38+R41+R49+R53+R58+R60+R63+R64+R67+R68+R70</f>
        <v>96072</v>
      </c>
      <c r="S87" s="68">
        <f>S20+S21+S23+S46+S50+S58+S66+S70+S76+S77</f>
        <v>229989</v>
      </c>
      <c r="T87" s="66">
        <f>S87+U87</f>
        <v>360002</v>
      </c>
      <c r="U87" s="67">
        <f>U34+U42+U51+U58+U63+U67+U70+U72+U77</f>
        <v>130013</v>
      </c>
      <c r="V87" s="74">
        <f>V47</f>
        <v>0</v>
      </c>
      <c r="W87" s="195">
        <f>U87+J87</f>
        <v>459690</v>
      </c>
      <c r="X87" s="66">
        <f>X34+X41+X51+X53+X58+X63</f>
        <v>52861</v>
      </c>
      <c r="Y87" s="67">
        <f>Y19+Y20+Y21+Y22+Y23+Y25+Y31+Y34+Y36+Y39+Y42+Y46+Y49+Y50+Y58+Y60+Y64+Y66+Y70+Y72+Y75+Y76+Y77</f>
        <v>406829</v>
      </c>
      <c r="Z87" s="67">
        <v>0</v>
      </c>
      <c r="AA87" s="212">
        <f>AA65</f>
        <v>0</v>
      </c>
      <c r="AB87" s="66">
        <f>AB25+AB36+AB38+AB39+AB58+AB68+AB75</f>
        <v>-2293</v>
      </c>
      <c r="AC87" s="67">
        <v>0</v>
      </c>
      <c r="AD87" s="67">
        <v>0</v>
      </c>
      <c r="AE87" s="67">
        <v>0</v>
      </c>
      <c r="AF87" s="67">
        <v>0</v>
      </c>
      <c r="AG87" s="67">
        <f>AG25+AG53+AG58</f>
        <v>-34567</v>
      </c>
      <c r="AH87" s="172">
        <v>0</v>
      </c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2.75">
      <c r="A88" s="50">
        <v>5</v>
      </c>
      <c r="B88" s="489" t="s">
        <v>19</v>
      </c>
      <c r="C88" s="490">
        <f>D88+E88+F88+G88</f>
        <v>0</v>
      </c>
      <c r="D88" s="491">
        <v>0</v>
      </c>
      <c r="E88" s="491">
        <v>0</v>
      </c>
      <c r="F88" s="491">
        <v>0</v>
      </c>
      <c r="G88" s="76">
        <v>0</v>
      </c>
      <c r="H88" s="76">
        <v>0</v>
      </c>
      <c r="I88" s="77">
        <v>0</v>
      </c>
      <c r="J88" s="75">
        <f>K88+O88+P88+Q88+R88+S88</f>
        <v>0</v>
      </c>
      <c r="K88" s="76">
        <v>0</v>
      </c>
      <c r="L88" s="76">
        <v>0</v>
      </c>
      <c r="M88" s="76"/>
      <c r="N88" s="76">
        <v>0</v>
      </c>
      <c r="O88" s="76">
        <v>0</v>
      </c>
      <c r="P88" s="76">
        <v>0</v>
      </c>
      <c r="Q88" s="76">
        <v>0</v>
      </c>
      <c r="R88" s="145">
        <v>0</v>
      </c>
      <c r="S88" s="145">
        <v>0</v>
      </c>
      <c r="T88" s="96">
        <v>0</v>
      </c>
      <c r="U88" s="151">
        <v>0</v>
      </c>
      <c r="V88" s="77">
        <v>0</v>
      </c>
      <c r="W88" s="324">
        <f>U88+J88</f>
        <v>0</v>
      </c>
      <c r="X88" s="96">
        <v>0</v>
      </c>
      <c r="Y88" s="151">
        <v>0</v>
      </c>
      <c r="Z88" s="151">
        <v>0</v>
      </c>
      <c r="AA88" s="395">
        <v>0</v>
      </c>
      <c r="AB88" s="410">
        <v>0</v>
      </c>
      <c r="AC88" s="358">
        <v>0</v>
      </c>
      <c r="AD88" s="358">
        <v>0</v>
      </c>
      <c r="AE88" s="358">
        <v>0</v>
      </c>
      <c r="AF88" s="358">
        <v>0</v>
      </c>
      <c r="AG88" s="358">
        <v>0</v>
      </c>
      <c r="AH88" s="359">
        <v>0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2.75">
      <c r="A89" s="47" t="s">
        <v>19</v>
      </c>
      <c r="B89" s="47"/>
      <c r="C89" s="75">
        <f>SUM(C86:C88)</f>
        <v>-27877</v>
      </c>
      <c r="D89" s="76">
        <f>SUM(D86:D88)</f>
        <v>0</v>
      </c>
      <c r="E89" s="76">
        <f>SUM(E86:E88)</f>
        <v>-27877</v>
      </c>
      <c r="F89" s="76">
        <f>SUM(F86:F88)</f>
        <v>0</v>
      </c>
      <c r="G89" s="76">
        <f>SUM(G86:G88)</f>
        <v>0</v>
      </c>
      <c r="H89" s="76">
        <f aca="true" t="shared" si="36" ref="H89:Q89">SUM(H86:H88)</f>
        <v>0</v>
      </c>
      <c r="I89" s="77">
        <f t="shared" si="36"/>
        <v>0</v>
      </c>
      <c r="J89" s="147">
        <f>K89+O89+P89+Q89+R89+S89</f>
        <v>285560</v>
      </c>
      <c r="K89" s="76">
        <f t="shared" si="36"/>
        <v>6648</v>
      </c>
      <c r="L89" s="76">
        <f t="shared" si="36"/>
        <v>-2293</v>
      </c>
      <c r="M89" s="76"/>
      <c r="N89" s="76">
        <f t="shared" si="36"/>
        <v>8941</v>
      </c>
      <c r="O89" s="76">
        <f t="shared" si="36"/>
        <v>-3087</v>
      </c>
      <c r="P89" s="76">
        <f t="shared" si="36"/>
        <v>55</v>
      </c>
      <c r="Q89" s="76">
        <f t="shared" si="36"/>
        <v>0</v>
      </c>
      <c r="R89" s="144">
        <f aca="true" t="shared" si="37" ref="R89:AG89">SUM(R86:R88)</f>
        <v>68628</v>
      </c>
      <c r="S89" s="144">
        <f t="shared" si="37"/>
        <v>213316</v>
      </c>
      <c r="T89" s="76">
        <f t="shared" si="37"/>
        <v>322574</v>
      </c>
      <c r="U89" s="76">
        <f t="shared" si="37"/>
        <v>109258</v>
      </c>
      <c r="V89" s="144">
        <f t="shared" si="37"/>
        <v>0</v>
      </c>
      <c r="W89" s="77">
        <f t="shared" si="37"/>
        <v>394818</v>
      </c>
      <c r="X89" s="360">
        <f t="shared" si="37"/>
        <v>-12011</v>
      </c>
      <c r="Y89" s="361">
        <f>SUM(Y86:Y88)</f>
        <v>406829</v>
      </c>
      <c r="Z89" s="361">
        <f>SUM(Z86:Z88)</f>
        <v>0</v>
      </c>
      <c r="AA89" s="396">
        <f t="shared" si="37"/>
        <v>0</v>
      </c>
      <c r="AB89" s="360">
        <f t="shared" si="37"/>
        <v>-2293</v>
      </c>
      <c r="AC89" s="361">
        <f t="shared" si="37"/>
        <v>0</v>
      </c>
      <c r="AD89" s="361">
        <f t="shared" si="37"/>
        <v>0</v>
      </c>
      <c r="AE89" s="361">
        <f t="shared" si="37"/>
        <v>0</v>
      </c>
      <c r="AF89" s="361">
        <f t="shared" si="37"/>
        <v>0</v>
      </c>
      <c r="AG89" s="361">
        <f t="shared" si="37"/>
        <v>-34567</v>
      </c>
      <c r="AH89" s="144">
        <f>SUM(AH86:AH88)</f>
        <v>0</v>
      </c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2.75">
      <c r="A90" s="57"/>
      <c r="B90" s="5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2.75">
      <c r="A91" t="s">
        <v>41</v>
      </c>
      <c r="C91" s="2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2.75">
      <c r="A92" t="s">
        <v>42</v>
      </c>
      <c r="B92" t="s">
        <v>43</v>
      </c>
      <c r="C92" s="2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2.75">
      <c r="A93" t="s">
        <v>44</v>
      </c>
      <c r="B93" t="s">
        <v>45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2.75">
      <c r="A94" t="s">
        <v>46</v>
      </c>
      <c r="B94" t="s">
        <v>47</v>
      </c>
      <c r="C94" s="2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2.75">
      <c r="A95" s="4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2.75">
      <c r="A96" s="4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2.75">
      <c r="A97" s="4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2.75">
      <c r="A98" s="4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2.75">
      <c r="A99" s="4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2.75">
      <c r="A100" s="4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2.75">
      <c r="A101" s="4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12.75">
      <c r="A102" s="4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12.75">
      <c r="A103" s="4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ht="12.75">
      <c r="A104" s="4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ht="12.75">
      <c r="A105" s="4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12.75">
      <c r="A106" s="4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12.75">
      <c r="A107" s="4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12.75">
      <c r="A108" s="4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2.75">
      <c r="A109" s="4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12.75">
      <c r="A110" s="4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12.75">
      <c r="A111" s="4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3:4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3:4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3:4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3:4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3:4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3:4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3:4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3:4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3:4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3:4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3:4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3:4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3:4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</sheetData>
  <mergeCells count="1">
    <mergeCell ref="G11:I11"/>
  </mergeCells>
  <printOptions horizontalCentered="1"/>
  <pageMargins left="0.3937007874015748" right="0" top="0.5905511811023623" bottom="0" header="0.31496062992125984" footer="0.5118110236220472"/>
  <pageSetup horizontalDpi="600" verticalDpi="600" orientation="landscape" paperSize="9" scale="48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X109"/>
  <sheetViews>
    <sheetView tabSelected="1" workbookViewId="0" topLeftCell="A2">
      <pane ySplit="14" topLeftCell="BM16" activePane="bottomLeft" state="frozen"/>
      <selection pane="topLeft" activeCell="H5" sqref="H5"/>
      <selection pane="bottomLeft" activeCell="D6" sqref="D6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hidden="1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customWidth="1"/>
    <col min="25" max="25" width="9.00390625" style="0" hidden="1" customWidth="1"/>
    <col min="26" max="26" width="10.125" style="0" hidden="1" customWidth="1"/>
    <col min="27" max="28" width="9.00390625" style="0" hidden="1" customWidth="1"/>
    <col min="29" max="29" width="9.75390625" style="0" customWidth="1"/>
    <col min="30" max="30" width="10.75390625" style="0" hidden="1" customWidth="1"/>
    <col min="31" max="31" width="11.375" style="0" hidden="1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113"/>
      <c r="AB4" s="113"/>
    </row>
    <row r="5" ht="12.75">
      <c r="L5" t="s">
        <v>52</v>
      </c>
    </row>
    <row r="6" spans="2:19" s="25" customFormat="1" ht="18">
      <c r="B6" s="127"/>
      <c r="D6" s="127"/>
      <c r="E6" s="127"/>
      <c r="F6" s="127"/>
      <c r="G6" s="127"/>
      <c r="H6" s="272"/>
      <c r="I6"/>
      <c r="J6" s="127" t="s">
        <v>226</v>
      </c>
      <c r="R6" s="128"/>
      <c r="S6" s="128"/>
    </row>
    <row r="7" spans="2:22" ht="18">
      <c r="B7" s="7"/>
      <c r="C7" s="6"/>
      <c r="D7" s="127"/>
      <c r="E7" s="127"/>
      <c r="F7" s="127"/>
      <c r="G7" s="127"/>
      <c r="H7" s="25"/>
      <c r="J7" s="127"/>
      <c r="K7" s="25"/>
      <c r="L7" s="128"/>
      <c r="M7" s="128"/>
      <c r="N7" s="128"/>
      <c r="O7" s="128"/>
      <c r="P7" s="128"/>
      <c r="Q7" s="128"/>
      <c r="R7" s="128"/>
      <c r="S7" s="128"/>
      <c r="T7" s="128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44"/>
      <c r="B9" s="26" t="s">
        <v>0</v>
      </c>
      <c r="C9" s="35" t="s">
        <v>1</v>
      </c>
      <c r="D9" s="14" t="s">
        <v>2</v>
      </c>
      <c r="E9" s="14"/>
      <c r="F9" s="14"/>
      <c r="G9" s="14"/>
      <c r="H9" s="14"/>
      <c r="I9" s="552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91" t="s">
        <v>66</v>
      </c>
      <c r="U9" s="192"/>
      <c r="V9" s="215"/>
      <c r="W9" s="234" t="s">
        <v>4</v>
      </c>
      <c r="X9" s="191" t="s">
        <v>152</v>
      </c>
      <c r="Y9" s="574"/>
      <c r="Z9" s="574"/>
      <c r="AA9" s="574"/>
      <c r="AB9" s="574"/>
      <c r="AC9" s="570"/>
      <c r="AG9" s="439"/>
      <c r="AH9" s="440"/>
      <c r="AI9" s="440"/>
      <c r="AJ9" s="277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2"/>
      <c r="C10" s="36"/>
      <c r="D10" s="547" t="s">
        <v>133</v>
      </c>
      <c r="E10" s="548"/>
      <c r="F10" s="549"/>
      <c r="G10" s="549"/>
      <c r="H10" s="553"/>
      <c r="I10" s="554"/>
      <c r="J10" s="566"/>
      <c r="K10" s="613"/>
      <c r="L10" s="538"/>
      <c r="M10" s="538"/>
      <c r="N10" s="538"/>
      <c r="O10" s="539"/>
      <c r="P10" s="539"/>
      <c r="Q10" s="539"/>
      <c r="R10" s="539"/>
      <c r="S10" s="540"/>
      <c r="T10" s="541"/>
      <c r="U10" s="542"/>
      <c r="V10" s="543"/>
      <c r="W10" s="306"/>
      <c r="X10" s="193"/>
      <c r="Y10" s="58"/>
      <c r="Z10" s="58"/>
      <c r="AA10" s="58"/>
      <c r="AB10" s="58"/>
      <c r="AC10" s="575"/>
      <c r="AD10" s="545"/>
      <c r="AE10" s="427"/>
      <c r="AF10" s="427"/>
      <c r="AG10" s="84"/>
      <c r="AH10" s="84"/>
      <c r="AI10" s="84"/>
      <c r="AJ10" s="546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5" t="s">
        <v>19</v>
      </c>
      <c r="D11" s="550" t="s">
        <v>134</v>
      </c>
      <c r="E11" s="551"/>
      <c r="F11" s="631"/>
      <c r="G11" s="1123" t="s">
        <v>157</v>
      </c>
      <c r="H11" s="1124"/>
      <c r="I11" s="1125"/>
      <c r="J11" s="648"/>
      <c r="K11" s="626" t="s">
        <v>154</v>
      </c>
      <c r="L11" s="610" t="s">
        <v>133</v>
      </c>
      <c r="M11" s="608"/>
      <c r="N11" s="609"/>
      <c r="O11" s="18" t="s">
        <v>9</v>
      </c>
      <c r="P11" s="209" t="s">
        <v>10</v>
      </c>
      <c r="Q11" s="565" t="s">
        <v>11</v>
      </c>
      <c r="R11" s="166" t="s">
        <v>11</v>
      </c>
      <c r="S11" s="167" t="s">
        <v>12</v>
      </c>
      <c r="T11" s="193" t="s">
        <v>65</v>
      </c>
      <c r="U11" s="194"/>
      <c r="V11" s="12" t="s">
        <v>64</v>
      </c>
      <c r="W11" s="306"/>
      <c r="X11" s="293" t="s">
        <v>103</v>
      </c>
      <c r="Y11" s="294" t="s">
        <v>4</v>
      </c>
      <c r="Z11" s="294" t="s">
        <v>103</v>
      </c>
      <c r="AA11" s="452" t="s">
        <v>91</v>
      </c>
      <c r="AB11" s="413" t="s">
        <v>129</v>
      </c>
      <c r="AC11" s="517" t="s">
        <v>111</v>
      </c>
      <c r="AD11" s="499" t="s">
        <v>142</v>
      </c>
      <c r="AE11" s="295" t="s">
        <v>142</v>
      </c>
      <c r="AF11" s="295" t="s">
        <v>119</v>
      </c>
      <c r="AG11" s="294" t="s">
        <v>86</v>
      </c>
      <c r="AH11" s="295" t="s">
        <v>20</v>
      </c>
      <c r="AI11" s="561" t="s">
        <v>129</v>
      </c>
      <c r="AJ11" s="296" t="s">
        <v>92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13</v>
      </c>
      <c r="B12" s="5"/>
      <c r="C12" s="29"/>
      <c r="D12" s="20" t="s">
        <v>14</v>
      </c>
      <c r="E12" s="557" t="s">
        <v>136</v>
      </c>
      <c r="F12" s="637" t="s">
        <v>92</v>
      </c>
      <c r="G12" s="652" t="s">
        <v>159</v>
      </c>
      <c r="H12" s="632" t="s">
        <v>135</v>
      </c>
      <c r="I12" s="633"/>
      <c r="J12" s="1"/>
      <c r="K12" s="626" t="s">
        <v>155</v>
      </c>
      <c r="L12" s="611"/>
      <c r="M12" s="612"/>
      <c r="N12" s="18"/>
      <c r="O12" s="31"/>
      <c r="P12" s="1" t="s">
        <v>17</v>
      </c>
      <c r="Q12" s="1" t="s">
        <v>18</v>
      </c>
      <c r="R12" s="39" t="s">
        <v>50</v>
      </c>
      <c r="S12" s="168" t="s">
        <v>48</v>
      </c>
      <c r="T12" s="93" t="s">
        <v>19</v>
      </c>
      <c r="U12" s="134" t="s">
        <v>5</v>
      </c>
      <c r="V12" s="15" t="s">
        <v>27</v>
      </c>
      <c r="W12" s="306"/>
      <c r="X12" s="297" t="s">
        <v>104</v>
      </c>
      <c r="Y12" s="298" t="s">
        <v>94</v>
      </c>
      <c r="Z12" s="298" t="s">
        <v>104</v>
      </c>
      <c r="AA12" s="453" t="s">
        <v>93</v>
      </c>
      <c r="AB12" s="414" t="s">
        <v>130</v>
      </c>
      <c r="AC12" s="233" t="s">
        <v>114</v>
      </c>
      <c r="AD12" s="500" t="s">
        <v>143</v>
      </c>
      <c r="AE12" s="298" t="s">
        <v>146</v>
      </c>
      <c r="AF12" s="299" t="s">
        <v>118</v>
      </c>
      <c r="AG12" s="298" t="s">
        <v>87</v>
      </c>
      <c r="AH12" s="299" t="s">
        <v>88</v>
      </c>
      <c r="AI12" s="562" t="s">
        <v>149</v>
      </c>
      <c r="AJ12" s="300" t="s">
        <v>95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21</v>
      </c>
      <c r="B13" s="12" t="s">
        <v>22</v>
      </c>
      <c r="C13" s="555"/>
      <c r="D13" s="20" t="s">
        <v>23</v>
      </c>
      <c r="E13" s="558" t="s">
        <v>137</v>
      </c>
      <c r="F13" s="638" t="s">
        <v>95</v>
      </c>
      <c r="G13" s="653" t="s">
        <v>136</v>
      </c>
      <c r="H13" s="634" t="s">
        <v>19</v>
      </c>
      <c r="I13" s="635" t="s">
        <v>7</v>
      </c>
      <c r="J13" s="649" t="s">
        <v>19</v>
      </c>
      <c r="K13" s="627" t="s">
        <v>19</v>
      </c>
      <c r="L13" s="16" t="s">
        <v>24</v>
      </c>
      <c r="M13" s="30"/>
      <c r="N13" s="30" t="s">
        <v>25</v>
      </c>
      <c r="O13" s="39"/>
      <c r="P13" s="23"/>
      <c r="Q13" s="1" t="s">
        <v>26</v>
      </c>
      <c r="R13" s="39" t="s">
        <v>49</v>
      </c>
      <c r="S13" s="168" t="s">
        <v>27</v>
      </c>
      <c r="T13" s="40" t="s">
        <v>28</v>
      </c>
      <c r="U13" s="134" t="s">
        <v>23</v>
      </c>
      <c r="V13" s="15" t="s">
        <v>49</v>
      </c>
      <c r="W13" s="306" t="s">
        <v>19</v>
      </c>
      <c r="X13" s="297" t="s">
        <v>105</v>
      </c>
      <c r="Y13" s="298" t="s">
        <v>97</v>
      </c>
      <c r="Z13" s="298" t="s">
        <v>108</v>
      </c>
      <c r="AA13" s="453" t="s">
        <v>96</v>
      </c>
      <c r="AB13" s="414" t="s">
        <v>131</v>
      </c>
      <c r="AC13" s="233" t="s">
        <v>141</v>
      </c>
      <c r="AD13" s="500" t="s">
        <v>144</v>
      </c>
      <c r="AE13" s="298" t="s">
        <v>147</v>
      </c>
      <c r="AF13" s="299" t="s">
        <v>138</v>
      </c>
      <c r="AG13" s="298" t="s">
        <v>29</v>
      </c>
      <c r="AH13" s="299" t="s">
        <v>34</v>
      </c>
      <c r="AI13" s="562" t="s">
        <v>150</v>
      </c>
      <c r="AJ13" s="300" t="s">
        <v>98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45" t="s">
        <v>30</v>
      </c>
      <c r="B14" s="27" t="s">
        <v>31</v>
      </c>
      <c r="C14" s="41"/>
      <c r="D14" s="21" t="s">
        <v>32</v>
      </c>
      <c r="E14" s="559"/>
      <c r="F14" s="638" t="s">
        <v>128</v>
      </c>
      <c r="G14" s="653" t="s">
        <v>158</v>
      </c>
      <c r="H14" s="781"/>
      <c r="I14" s="654" t="s">
        <v>33</v>
      </c>
      <c r="J14" s="650"/>
      <c r="K14" s="208"/>
      <c r="L14" s="19"/>
      <c r="M14" s="19"/>
      <c r="N14" s="210"/>
      <c r="O14" s="22"/>
      <c r="P14" s="19"/>
      <c r="Q14" s="3"/>
      <c r="R14" s="169" t="s">
        <v>28</v>
      </c>
      <c r="S14" s="170"/>
      <c r="T14" s="42"/>
      <c r="U14" s="135" t="s">
        <v>27</v>
      </c>
      <c r="V14" s="41" t="s">
        <v>28</v>
      </c>
      <c r="W14" s="307"/>
      <c r="X14" s="421" t="s">
        <v>106</v>
      </c>
      <c r="Y14" s="302" t="s">
        <v>100</v>
      </c>
      <c r="Z14" s="420" t="s">
        <v>106</v>
      </c>
      <c r="AA14" s="454" t="s">
        <v>99</v>
      </c>
      <c r="AB14" s="303" t="s">
        <v>132</v>
      </c>
      <c r="AC14" s="571" t="s">
        <v>140</v>
      </c>
      <c r="AD14" s="569" t="s">
        <v>145</v>
      </c>
      <c r="AE14" s="422" t="s">
        <v>148</v>
      </c>
      <c r="AF14" s="302" t="s">
        <v>139</v>
      </c>
      <c r="AG14" s="301"/>
      <c r="AH14" s="301"/>
      <c r="AI14" s="564" t="s">
        <v>151</v>
      </c>
      <c r="AJ14" s="303" t="s">
        <v>101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2.75">
      <c r="A15" s="5"/>
      <c r="B15" s="115" t="s">
        <v>187</v>
      </c>
      <c r="C15" s="222">
        <f>D15+E15+F15+G15+H15</f>
        <v>1391915</v>
      </c>
      <c r="D15" s="417">
        <v>88109</v>
      </c>
      <c r="E15" s="560">
        <v>0</v>
      </c>
      <c r="F15" s="639">
        <v>0</v>
      </c>
      <c r="G15" s="679">
        <v>1303806</v>
      </c>
      <c r="H15" s="782">
        <v>0</v>
      </c>
      <c r="I15" s="416">
        <v>0</v>
      </c>
      <c r="J15" s="416">
        <f>K15+O15+P15+Q15+R15+S15</f>
        <v>7232073</v>
      </c>
      <c r="K15" s="417">
        <f>L15+N15</f>
        <v>4636327</v>
      </c>
      <c r="L15" s="425">
        <v>4624609</v>
      </c>
      <c r="M15" s="426"/>
      <c r="N15" s="426">
        <v>11718</v>
      </c>
      <c r="O15" s="426">
        <v>1576352</v>
      </c>
      <c r="P15" s="425">
        <v>92493</v>
      </c>
      <c r="Q15" s="426">
        <v>0</v>
      </c>
      <c r="R15" s="416">
        <v>769981</v>
      </c>
      <c r="S15" s="416">
        <v>156920</v>
      </c>
      <c r="T15" s="417">
        <f>S15+U15</f>
        <v>249719</v>
      </c>
      <c r="U15" s="427">
        <v>92799</v>
      </c>
      <c r="V15" s="428">
        <v>0</v>
      </c>
      <c r="W15" s="418">
        <f>U15+J15</f>
        <v>7324872</v>
      </c>
      <c r="X15" s="417">
        <v>7324872</v>
      </c>
      <c r="Y15" s="425">
        <v>0</v>
      </c>
      <c r="Z15" s="305">
        <v>0</v>
      </c>
      <c r="AA15" s="375">
        <v>0</v>
      </c>
      <c r="AB15" s="326">
        <v>0</v>
      </c>
      <c r="AC15" s="114">
        <v>4624609</v>
      </c>
      <c r="AD15" s="455">
        <v>0</v>
      </c>
      <c r="AE15" s="305">
        <v>0</v>
      </c>
      <c r="AF15" s="305">
        <v>0</v>
      </c>
      <c r="AG15" s="305">
        <v>0</v>
      </c>
      <c r="AH15" s="305">
        <v>0</v>
      </c>
      <c r="AI15" s="375">
        <v>0</v>
      </c>
      <c r="AJ15" s="326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57" customFormat="1" ht="12.75" hidden="1">
      <c r="A16" s="47"/>
      <c r="B16" s="415" t="s">
        <v>124</v>
      </c>
      <c r="C16" s="126"/>
      <c r="D16" s="125"/>
      <c r="E16" s="122"/>
      <c r="F16" s="640"/>
      <c r="G16" s="125"/>
      <c r="H16" s="122"/>
      <c r="I16" s="124"/>
      <c r="J16" s="124">
        <f>K16+O16+P16+Q16+R16+S16</f>
        <v>0</v>
      </c>
      <c r="K16" s="125"/>
      <c r="L16" s="123"/>
      <c r="M16" s="122"/>
      <c r="N16" s="122"/>
      <c r="O16" s="122"/>
      <c r="P16" s="123"/>
      <c r="Q16" s="122"/>
      <c r="R16" s="124"/>
      <c r="S16" s="124"/>
      <c r="T16" s="122">
        <f>S16+U16</f>
        <v>0</v>
      </c>
      <c r="U16" s="139"/>
      <c r="V16" s="366"/>
      <c r="W16" s="314">
        <f>U16+J16</f>
        <v>0</v>
      </c>
      <c r="X16" s="419"/>
      <c r="Y16" s="81"/>
      <c r="Z16" s="81"/>
      <c r="AA16" s="81"/>
      <c r="AB16" s="81"/>
      <c r="AC16" s="304"/>
      <c r="AD16" s="83"/>
      <c r="AE16" s="81"/>
      <c r="AF16" s="81"/>
      <c r="AG16" s="81"/>
      <c r="AH16" s="81"/>
      <c r="AI16" s="376"/>
      <c r="AJ16" s="30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</row>
    <row r="17" spans="1:50" ht="12.75">
      <c r="A17" s="5"/>
      <c r="B17" s="133" t="s">
        <v>35</v>
      </c>
      <c r="C17" s="222"/>
      <c r="D17" s="223"/>
      <c r="E17" s="226"/>
      <c r="F17" s="227"/>
      <c r="G17" s="805"/>
      <c r="H17" s="806"/>
      <c r="I17" s="807"/>
      <c r="J17" s="275"/>
      <c r="K17" s="274"/>
      <c r="L17" s="224"/>
      <c r="M17" s="226"/>
      <c r="N17" s="226"/>
      <c r="O17" s="226"/>
      <c r="P17" s="224"/>
      <c r="Q17" s="226"/>
      <c r="R17" s="885"/>
      <c r="S17" s="855"/>
      <c r="T17" s="367"/>
      <c r="U17" s="227"/>
      <c r="V17" s="228"/>
      <c r="W17" s="315"/>
      <c r="X17" s="808"/>
      <c r="Y17" s="809"/>
      <c r="Z17" s="810"/>
      <c r="AA17" s="810"/>
      <c r="AB17" s="811"/>
      <c r="AC17" s="812"/>
      <c r="AD17" s="455"/>
      <c r="AE17" s="305"/>
      <c r="AF17" s="305"/>
      <c r="AG17" s="305"/>
      <c r="AH17" s="305"/>
      <c r="AI17" s="375"/>
      <c r="AJ17" s="326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820">
        <v>1</v>
      </c>
      <c r="B18" s="821" t="s">
        <v>185</v>
      </c>
      <c r="C18" s="109">
        <f>D18+H18</f>
        <v>0</v>
      </c>
      <c r="D18" s="857"/>
      <c r="E18" s="368"/>
      <c r="F18" s="858"/>
      <c r="G18" s="857"/>
      <c r="H18" s="282"/>
      <c r="I18" s="884"/>
      <c r="J18" s="861">
        <f aca="true" t="shared" si="0" ref="J18:J32">K18+O18+P18+Q18+R18+S18</f>
        <v>-82301</v>
      </c>
      <c r="K18" s="876">
        <f>L18+N18</f>
        <v>-46363</v>
      </c>
      <c r="L18" s="864">
        <v>-46246</v>
      </c>
      <c r="M18" s="864"/>
      <c r="N18" s="864">
        <v>-117</v>
      </c>
      <c r="O18" s="864">
        <v>-15764</v>
      </c>
      <c r="P18" s="865">
        <v>-925</v>
      </c>
      <c r="Q18" s="864"/>
      <c r="R18" s="886">
        <v>-19249</v>
      </c>
      <c r="S18" s="870"/>
      <c r="T18" s="868">
        <f aca="true" t="shared" si="1" ref="T18:T23">S18+U18</f>
        <v>0</v>
      </c>
      <c r="U18" s="869"/>
      <c r="V18" s="870"/>
      <c r="W18" s="871">
        <f>U18+J18</f>
        <v>-82301</v>
      </c>
      <c r="X18" s="872">
        <v>-82301</v>
      </c>
      <c r="Y18" s="866"/>
      <c r="Z18" s="866"/>
      <c r="AA18" s="866"/>
      <c r="AB18" s="865"/>
      <c r="AC18" s="887">
        <v>-46246</v>
      </c>
      <c r="AD18" s="455"/>
      <c r="AE18" s="305"/>
      <c r="AF18" s="305"/>
      <c r="AG18" s="305"/>
      <c r="AH18" s="305"/>
      <c r="AI18" s="375"/>
      <c r="AJ18" s="326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2.75">
      <c r="A19" s="129">
        <v>3</v>
      </c>
      <c r="B19" s="164" t="s">
        <v>169</v>
      </c>
      <c r="C19" s="109">
        <f>D19+H19</f>
        <v>0</v>
      </c>
      <c r="D19" s="243"/>
      <c r="E19" s="429"/>
      <c r="F19" s="238"/>
      <c r="G19" s="243"/>
      <c r="H19" s="247"/>
      <c r="I19" s="240"/>
      <c r="J19" s="248">
        <f t="shared" si="0"/>
        <v>0</v>
      </c>
      <c r="K19" s="311">
        <f>L19+N19</f>
        <v>0</v>
      </c>
      <c r="L19" s="622">
        <v>-303</v>
      </c>
      <c r="M19" s="371"/>
      <c r="N19" s="371">
        <v>303</v>
      </c>
      <c r="O19" s="371"/>
      <c r="P19" s="371"/>
      <c r="Q19" s="371"/>
      <c r="R19" s="578"/>
      <c r="S19" s="291"/>
      <c r="T19" s="237">
        <f t="shared" si="1"/>
        <v>0</v>
      </c>
      <c r="U19" s="238"/>
      <c r="V19" s="242"/>
      <c r="W19" s="308">
        <f>U19+J19</f>
        <v>0</v>
      </c>
      <c r="X19" s="243"/>
      <c r="Y19" s="617"/>
      <c r="Z19" s="618"/>
      <c r="AA19" s="619"/>
      <c r="AB19" s="620"/>
      <c r="AC19" s="578">
        <v>-303</v>
      </c>
      <c r="AD19" s="431"/>
      <c r="AE19" s="247"/>
      <c r="AF19" s="247"/>
      <c r="AG19" s="327"/>
      <c r="AH19" s="327"/>
      <c r="AI19" s="563"/>
      <c r="AJ19" s="328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46" ht="13.5" thickBot="1">
      <c r="A20" s="129">
        <v>3</v>
      </c>
      <c r="B20" s="164" t="s">
        <v>170</v>
      </c>
      <c r="C20" s="109">
        <f>D20+H20</f>
        <v>0</v>
      </c>
      <c r="D20" s="68"/>
      <c r="E20" s="68"/>
      <c r="F20" s="74"/>
      <c r="G20" s="66"/>
      <c r="H20" s="67"/>
      <c r="I20" s="65"/>
      <c r="J20" s="65">
        <f>K20+O20+P20+Q20+R20+S20</f>
        <v>0</v>
      </c>
      <c r="K20" s="66">
        <f>L20+N20</f>
        <v>0</v>
      </c>
      <c r="L20" s="68"/>
      <c r="M20" s="189"/>
      <c r="N20" s="250"/>
      <c r="O20" s="68"/>
      <c r="P20" s="68"/>
      <c r="Q20" s="189"/>
      <c r="R20" s="67"/>
      <c r="S20" s="101"/>
      <c r="T20" s="100">
        <f t="shared" si="1"/>
        <v>0</v>
      </c>
      <c r="U20" s="212"/>
      <c r="V20" s="156"/>
      <c r="W20" s="308">
        <f>U20+J20</f>
        <v>0</v>
      </c>
      <c r="X20" s="446"/>
      <c r="Y20" s="450"/>
      <c r="Z20" s="447"/>
      <c r="AA20" s="576"/>
      <c r="AB20" s="577"/>
      <c r="AC20" s="579"/>
      <c r="AD20" s="68"/>
      <c r="AE20" s="67"/>
      <c r="AF20" s="67"/>
      <c r="AG20" s="284"/>
      <c r="AH20" s="284"/>
      <c r="AI20" s="383"/>
      <c r="AJ20" s="172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 hidden="1">
      <c r="A21" s="279"/>
      <c r="B21" s="56"/>
      <c r="C21" s="65"/>
      <c r="D21" s="68"/>
      <c r="E21" s="68"/>
      <c r="F21" s="74"/>
      <c r="G21" s="66"/>
      <c r="H21" s="67"/>
      <c r="I21" s="65"/>
      <c r="J21" s="362"/>
      <c r="K21" s="66"/>
      <c r="L21" s="189"/>
      <c r="M21" s="189"/>
      <c r="N21" s="486"/>
      <c r="O21" s="189"/>
      <c r="P21" s="189"/>
      <c r="Q21" s="189"/>
      <c r="R21" s="67"/>
      <c r="S21" s="290"/>
      <c r="T21" s="363"/>
      <c r="U21" s="365"/>
      <c r="V21" s="156"/>
      <c r="W21" s="308"/>
      <c r="X21" s="446"/>
      <c r="Y21" s="450"/>
      <c r="Z21" s="447"/>
      <c r="AA21" s="576"/>
      <c r="AB21" s="577"/>
      <c r="AC21" s="579"/>
      <c r="AD21" s="68"/>
      <c r="AE21" s="67"/>
      <c r="AF21" s="67"/>
      <c r="AG21" s="284"/>
      <c r="AH21" s="284"/>
      <c r="AI21" s="383"/>
      <c r="AJ21" s="172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 hidden="1">
      <c r="A22" s="279"/>
      <c r="B22" s="56"/>
      <c r="C22" s="64"/>
      <c r="D22" s="67"/>
      <c r="E22" s="67"/>
      <c r="F22" s="212"/>
      <c r="G22" s="66"/>
      <c r="H22" s="67"/>
      <c r="I22" s="64"/>
      <c r="J22" s="362">
        <f t="shared" si="0"/>
        <v>0</v>
      </c>
      <c r="K22" s="66">
        <f>L22+N22</f>
        <v>0</v>
      </c>
      <c r="L22" s="189"/>
      <c r="M22" s="67"/>
      <c r="N22" s="486"/>
      <c r="O22" s="189"/>
      <c r="P22" s="189"/>
      <c r="Q22" s="189"/>
      <c r="R22" s="67"/>
      <c r="S22" s="290"/>
      <c r="T22" s="363">
        <f t="shared" si="1"/>
        <v>0</v>
      </c>
      <c r="U22" s="365"/>
      <c r="V22" s="188"/>
      <c r="W22" s="308">
        <f>U22+J22</f>
        <v>0</v>
      </c>
      <c r="X22" s="446"/>
      <c r="Y22" s="450"/>
      <c r="Z22" s="447"/>
      <c r="AA22" s="477"/>
      <c r="AB22" s="467"/>
      <c r="AC22" s="572"/>
      <c r="AD22" s="68"/>
      <c r="AE22" s="67"/>
      <c r="AF22" s="67"/>
      <c r="AG22" s="284"/>
      <c r="AH22" s="284"/>
      <c r="AI22" s="383"/>
      <c r="AJ22" s="172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3.5" hidden="1" thickBot="1">
      <c r="A23" s="152"/>
      <c r="B23" s="56"/>
      <c r="C23" s="130"/>
      <c r="D23" s="131"/>
      <c r="E23" s="432"/>
      <c r="F23" s="432"/>
      <c r="G23" s="131"/>
      <c r="H23" s="153"/>
      <c r="I23" s="132"/>
      <c r="J23" s="65">
        <f t="shared" si="0"/>
        <v>0</v>
      </c>
      <c r="K23" s="273">
        <f>L23+N23</f>
        <v>0</v>
      </c>
      <c r="L23" s="153"/>
      <c r="M23" s="153"/>
      <c r="N23" s="487"/>
      <c r="O23" s="281"/>
      <c r="P23" s="153"/>
      <c r="Q23" s="153"/>
      <c r="R23" s="312"/>
      <c r="S23" s="312"/>
      <c r="T23" s="100">
        <f t="shared" si="1"/>
        <v>0</v>
      </c>
      <c r="U23" s="313"/>
      <c r="V23" s="216"/>
      <c r="W23" s="308">
        <f>U23+J23</f>
        <v>0</v>
      </c>
      <c r="X23" s="448"/>
      <c r="Y23" s="451"/>
      <c r="Z23" s="479"/>
      <c r="AA23" s="480"/>
      <c r="AB23" s="468"/>
      <c r="AC23" s="573"/>
      <c r="AD23" s="537"/>
      <c r="AE23" s="335"/>
      <c r="AF23" s="335"/>
      <c r="AG23" s="335"/>
      <c r="AH23" s="335"/>
      <c r="AI23" s="381"/>
      <c r="AJ23" s="336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7.25" customHeight="1" thickBot="1">
      <c r="A24" s="157"/>
      <c r="B24" s="34" t="s">
        <v>36</v>
      </c>
      <c r="C24" s="90">
        <f>D24+H24</f>
        <v>0</v>
      </c>
      <c r="D24" s="91">
        <f aca="true" t="shared" si="2" ref="D24:I24">SUM(D19:D23)</f>
        <v>0</v>
      </c>
      <c r="E24" s="91">
        <f t="shared" si="2"/>
        <v>0</v>
      </c>
      <c r="F24" s="138">
        <f t="shared" si="2"/>
        <v>0</v>
      </c>
      <c r="G24" s="197">
        <f t="shared" si="2"/>
        <v>0</v>
      </c>
      <c r="H24" s="91">
        <f t="shared" si="2"/>
        <v>0</v>
      </c>
      <c r="I24" s="90">
        <f t="shared" si="2"/>
        <v>0</v>
      </c>
      <c r="J24" s="90">
        <f>K24+O24+P24+Q24+R24+S24</f>
        <v>0</v>
      </c>
      <c r="K24" s="91">
        <f>SUM(K19:K23)</f>
        <v>0</v>
      </c>
      <c r="L24" s="91">
        <f>SUM(L19:L23)</f>
        <v>-303</v>
      </c>
      <c r="M24" s="91"/>
      <c r="N24" s="91">
        <f aca="true" t="shared" si="3" ref="N24:S24">SUM(N19:N23)</f>
        <v>303</v>
      </c>
      <c r="O24" s="91">
        <f t="shared" si="3"/>
        <v>0</v>
      </c>
      <c r="P24" s="91">
        <f t="shared" si="3"/>
        <v>0</v>
      </c>
      <c r="Q24" s="138">
        <f t="shared" si="3"/>
        <v>0</v>
      </c>
      <c r="R24" s="140">
        <f t="shared" si="3"/>
        <v>0</v>
      </c>
      <c r="S24" s="140">
        <f t="shared" si="3"/>
        <v>0</v>
      </c>
      <c r="T24" s="140">
        <f>SUM(T19:T22)</f>
        <v>0</v>
      </c>
      <c r="U24" s="140">
        <f>SUM(U19:U22)</f>
        <v>0</v>
      </c>
      <c r="V24" s="140">
        <f>SUM(V19:V22)</f>
        <v>0</v>
      </c>
      <c r="W24" s="140">
        <f>SUM(W19:W23)</f>
        <v>0</v>
      </c>
      <c r="X24" s="140">
        <f>SUM(X19:X22)</f>
        <v>0</v>
      </c>
      <c r="Y24" s="140">
        <f>SUM(Y19:Y22)</f>
        <v>0</v>
      </c>
      <c r="Z24" s="140">
        <f>SUM(Z19:Z22)</f>
        <v>0</v>
      </c>
      <c r="AA24" s="382">
        <f>SUM(AA19:AA22)</f>
        <v>0</v>
      </c>
      <c r="AB24" s="469">
        <f>SUM(AB19:AB22)</f>
        <v>0</v>
      </c>
      <c r="AC24" s="337">
        <f>SUM(AC19:AC23)</f>
        <v>-303</v>
      </c>
      <c r="AD24" s="91">
        <f aca="true" t="shared" si="4" ref="AD24:AJ24">SUM(AD19:AD22)</f>
        <v>0</v>
      </c>
      <c r="AE24" s="140">
        <f t="shared" si="4"/>
        <v>0</v>
      </c>
      <c r="AF24" s="140">
        <f t="shared" si="4"/>
        <v>0</v>
      </c>
      <c r="AG24" s="283">
        <f t="shared" si="4"/>
        <v>0</v>
      </c>
      <c r="AH24" s="283">
        <f t="shared" si="4"/>
        <v>0</v>
      </c>
      <c r="AI24" s="382">
        <f t="shared" si="4"/>
        <v>0</v>
      </c>
      <c r="AJ24" s="337">
        <f t="shared" si="4"/>
        <v>0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2.75" hidden="1">
      <c r="A25" s="888"/>
      <c r="B25" s="158"/>
      <c r="C25" s="158"/>
      <c r="D25" s="936"/>
      <c r="E25" s="160"/>
      <c r="F25" s="937"/>
      <c r="G25" s="159"/>
      <c r="H25" s="160"/>
      <c r="I25" s="161"/>
      <c r="J25" s="162">
        <f t="shared" si="0"/>
        <v>0</v>
      </c>
      <c r="K25" s="163"/>
      <c r="L25" s="160"/>
      <c r="M25" s="160"/>
      <c r="N25" s="160"/>
      <c r="O25" s="160"/>
      <c r="P25" s="67"/>
      <c r="Q25" s="212"/>
      <c r="R25" s="189"/>
      <c r="S25" s="189"/>
      <c r="T25" s="498">
        <f>S25+U25</f>
        <v>0</v>
      </c>
      <c r="U25" s="525"/>
      <c r="V25" s="526"/>
      <c r="W25" s="498">
        <f aca="true" t="shared" si="5" ref="W25:W32">U25+J25</f>
        <v>0</v>
      </c>
      <c r="X25" s="67"/>
      <c r="Y25" s="67"/>
      <c r="Z25" s="67"/>
      <c r="AA25" s="380"/>
      <c r="AB25" s="239"/>
      <c r="AC25" s="519"/>
      <c r="AD25" s="68"/>
      <c r="AE25" s="67"/>
      <c r="AF25" s="67"/>
      <c r="AG25" s="284"/>
      <c r="AH25" s="284"/>
      <c r="AI25" s="383"/>
      <c r="AJ25" s="172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922">
        <v>1</v>
      </c>
      <c r="B26" s="938" t="s">
        <v>190</v>
      </c>
      <c r="C26" s="109">
        <f aca="true" t="shared" si="6" ref="C26:C31">D26+H26</f>
        <v>0</v>
      </c>
      <c r="D26" s="68"/>
      <c r="E26" s="68"/>
      <c r="F26" s="74"/>
      <c r="G26" s="66"/>
      <c r="H26" s="68"/>
      <c r="I26" s="65"/>
      <c r="J26" s="709">
        <f t="shared" si="0"/>
        <v>-300</v>
      </c>
      <c r="K26" s="710"/>
      <c r="L26" s="710"/>
      <c r="M26" s="710"/>
      <c r="N26" s="710"/>
      <c r="O26" s="710"/>
      <c r="P26" s="710"/>
      <c r="Q26" s="711"/>
      <c r="R26" s="685"/>
      <c r="S26" s="685">
        <v>-300</v>
      </c>
      <c r="T26" s="939">
        <f>S26+U26</f>
        <v>0</v>
      </c>
      <c r="U26" s="767">
        <v>300</v>
      </c>
      <c r="V26" s="685"/>
      <c r="W26" s="685">
        <f t="shared" si="5"/>
        <v>0</v>
      </c>
      <c r="X26" s="685"/>
      <c r="Y26" s="685"/>
      <c r="Z26" s="685"/>
      <c r="AA26" s="940"/>
      <c r="AB26" s="940"/>
      <c r="AC26" s="941"/>
      <c r="AD26" s="68"/>
      <c r="AE26" s="67"/>
      <c r="AF26" s="67"/>
      <c r="AG26" s="284"/>
      <c r="AH26" s="284"/>
      <c r="AI26" s="383"/>
      <c r="AJ26" s="172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917">
        <v>1</v>
      </c>
      <c r="B27" s="933" t="s">
        <v>195</v>
      </c>
      <c r="C27" s="109">
        <f t="shared" si="6"/>
        <v>0</v>
      </c>
      <c r="D27" s="68"/>
      <c r="E27" s="68"/>
      <c r="F27" s="74"/>
      <c r="G27" s="66"/>
      <c r="H27" s="68"/>
      <c r="I27" s="65"/>
      <c r="J27" s="709">
        <f t="shared" si="0"/>
        <v>0</v>
      </c>
      <c r="K27" s="710"/>
      <c r="L27" s="710"/>
      <c r="M27" s="710"/>
      <c r="N27" s="710"/>
      <c r="O27" s="710"/>
      <c r="P27" s="710"/>
      <c r="Q27" s="711"/>
      <c r="R27" s="685"/>
      <c r="S27" s="685"/>
      <c r="T27" s="685">
        <f>S27+U27</f>
        <v>1044</v>
      </c>
      <c r="U27" s="685">
        <v>1044</v>
      </c>
      <c r="V27" s="685"/>
      <c r="W27" s="685">
        <f t="shared" si="5"/>
        <v>1044</v>
      </c>
      <c r="X27" s="685">
        <v>1044</v>
      </c>
      <c r="Y27" s="685"/>
      <c r="Z27" s="685"/>
      <c r="AA27" s="719"/>
      <c r="AB27" s="719"/>
      <c r="AC27" s="941"/>
      <c r="AD27" s="68"/>
      <c r="AE27" s="67"/>
      <c r="AF27" s="67"/>
      <c r="AG27" s="190"/>
      <c r="AH27" s="190"/>
      <c r="AI27" s="383"/>
      <c r="AJ27" s="172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230" customFormat="1" ht="12.75">
      <c r="A28" s="891">
        <v>3</v>
      </c>
      <c r="B28" s="895" t="s">
        <v>196</v>
      </c>
      <c r="C28" s="109">
        <f t="shared" si="6"/>
        <v>0</v>
      </c>
      <c r="D28" s="907"/>
      <c r="E28" s="907"/>
      <c r="F28" s="908"/>
      <c r="G28" s="909"/>
      <c r="H28" s="907"/>
      <c r="I28" s="906"/>
      <c r="J28" s="906">
        <f t="shared" si="0"/>
        <v>-842</v>
      </c>
      <c r="K28" s="907">
        <v>-919</v>
      </c>
      <c r="L28" s="907">
        <v>-4900</v>
      </c>
      <c r="M28" s="907"/>
      <c r="N28" s="907">
        <v>3981</v>
      </c>
      <c r="O28" s="907">
        <v>-1180</v>
      </c>
      <c r="P28" s="907">
        <v>-18</v>
      </c>
      <c r="Q28" s="908"/>
      <c r="R28" s="910">
        <v>1275</v>
      </c>
      <c r="S28" s="910"/>
      <c r="T28" s="910">
        <f>S28+U28</f>
        <v>0</v>
      </c>
      <c r="U28" s="910"/>
      <c r="V28" s="910"/>
      <c r="W28" s="910">
        <f t="shared" si="5"/>
        <v>-842</v>
      </c>
      <c r="X28" s="910">
        <v>-842</v>
      </c>
      <c r="Y28" s="910"/>
      <c r="Z28" s="910"/>
      <c r="AA28" s="911"/>
      <c r="AB28" s="911"/>
      <c r="AC28" s="914">
        <v>-4900</v>
      </c>
      <c r="AD28" s="907"/>
      <c r="AE28" s="910"/>
      <c r="AF28" s="910"/>
      <c r="AG28" s="913"/>
      <c r="AH28" s="913"/>
      <c r="AI28" s="911"/>
      <c r="AJ28" s="914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</row>
    <row r="29" spans="1:46" ht="12.75">
      <c r="A29" s="891">
        <v>3</v>
      </c>
      <c r="B29" s="895" t="s">
        <v>201</v>
      </c>
      <c r="C29" s="109">
        <f t="shared" si="6"/>
        <v>0</v>
      </c>
      <c r="D29" s="99"/>
      <c r="E29" s="99"/>
      <c r="F29" s="173"/>
      <c r="G29" s="100"/>
      <c r="H29" s="99"/>
      <c r="I29" s="98"/>
      <c r="J29" s="65">
        <f t="shared" si="0"/>
        <v>17138</v>
      </c>
      <c r="K29" s="99"/>
      <c r="L29" s="99"/>
      <c r="M29" s="99"/>
      <c r="N29" s="99"/>
      <c r="O29" s="99"/>
      <c r="P29" s="99"/>
      <c r="Q29" s="173"/>
      <c r="R29" s="310">
        <v>17138</v>
      </c>
      <c r="S29" s="310"/>
      <c r="T29" s="310">
        <f>S29+U29</f>
        <v>0</v>
      </c>
      <c r="U29" s="310"/>
      <c r="V29" s="67"/>
      <c r="W29" s="67">
        <f t="shared" si="5"/>
        <v>17138</v>
      </c>
      <c r="X29" s="310">
        <v>17138</v>
      </c>
      <c r="Y29" s="310"/>
      <c r="Z29" s="310"/>
      <c r="AA29" s="380"/>
      <c r="AB29" s="380"/>
      <c r="AC29" s="239"/>
      <c r="AD29" s="99"/>
      <c r="AE29" s="310"/>
      <c r="AF29" s="310"/>
      <c r="AG29" s="284"/>
      <c r="AH29" s="284"/>
      <c r="AI29" s="380"/>
      <c r="AJ29" s="17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>
      <c r="A30" s="917">
        <v>1</v>
      </c>
      <c r="B30" s="918" t="s">
        <v>202</v>
      </c>
      <c r="C30" s="109">
        <f t="shared" si="6"/>
        <v>0</v>
      </c>
      <c r="D30" s="99"/>
      <c r="E30" s="99"/>
      <c r="F30" s="173"/>
      <c r="G30" s="100"/>
      <c r="H30" s="99"/>
      <c r="I30" s="98"/>
      <c r="J30" s="920">
        <f t="shared" si="0"/>
        <v>4361</v>
      </c>
      <c r="K30" s="919"/>
      <c r="L30" s="919"/>
      <c r="M30" s="919"/>
      <c r="N30" s="919"/>
      <c r="O30" s="919"/>
      <c r="P30" s="919"/>
      <c r="Q30" s="921"/>
      <c r="R30" s="767">
        <v>4361</v>
      </c>
      <c r="S30" s="767"/>
      <c r="T30" s="767">
        <f aca="true" t="shared" si="7" ref="T30:T37">S30+U30</f>
        <v>0</v>
      </c>
      <c r="U30" s="767"/>
      <c r="V30" s="767"/>
      <c r="W30" s="767">
        <f t="shared" si="5"/>
        <v>4361</v>
      </c>
      <c r="X30" s="767">
        <v>4361</v>
      </c>
      <c r="Y30" s="310"/>
      <c r="Z30" s="310"/>
      <c r="AA30" s="380"/>
      <c r="AB30" s="380"/>
      <c r="AC30" s="239"/>
      <c r="AD30" s="99"/>
      <c r="AE30" s="310"/>
      <c r="AF30" s="310"/>
      <c r="AG30" s="284"/>
      <c r="AH30" s="284"/>
      <c r="AI30" s="380"/>
      <c r="AJ30" s="17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3.5" thickBot="1">
      <c r="A31" s="102">
        <v>3</v>
      </c>
      <c r="B31" s="895" t="s">
        <v>204</v>
      </c>
      <c r="C31" s="109">
        <f t="shared" si="6"/>
        <v>0</v>
      </c>
      <c r="D31" s="99"/>
      <c r="E31" s="99"/>
      <c r="F31" s="173"/>
      <c r="G31" s="100"/>
      <c r="H31" s="99"/>
      <c r="I31" s="98"/>
      <c r="J31" s="98">
        <f t="shared" si="0"/>
        <v>110</v>
      </c>
      <c r="K31" s="99">
        <v>80</v>
      </c>
      <c r="L31" s="99">
        <v>80</v>
      </c>
      <c r="M31" s="99"/>
      <c r="N31" s="99">
        <v>0</v>
      </c>
      <c r="O31" s="99">
        <v>28</v>
      </c>
      <c r="P31" s="99">
        <v>2</v>
      </c>
      <c r="Q31" s="173"/>
      <c r="R31" s="310"/>
      <c r="S31" s="310"/>
      <c r="T31" s="310">
        <f t="shared" si="7"/>
        <v>0</v>
      </c>
      <c r="U31" s="310"/>
      <c r="V31" s="310"/>
      <c r="W31" s="310">
        <f t="shared" si="5"/>
        <v>110</v>
      </c>
      <c r="X31" s="310">
        <v>110</v>
      </c>
      <c r="Y31" s="310"/>
      <c r="Z31" s="310"/>
      <c r="AA31" s="380"/>
      <c r="AB31" s="380"/>
      <c r="AC31" s="239">
        <v>80</v>
      </c>
      <c r="AD31" s="99"/>
      <c r="AE31" s="310"/>
      <c r="AF31" s="310"/>
      <c r="AG31" s="284"/>
      <c r="AH31" s="284"/>
      <c r="AI31" s="380"/>
      <c r="AJ31" s="17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 hidden="1">
      <c r="A32" s="102"/>
      <c r="B32" s="165"/>
      <c r="C32" s="98"/>
      <c r="D32" s="99"/>
      <c r="E32" s="99"/>
      <c r="F32" s="173"/>
      <c r="G32" s="100"/>
      <c r="H32" s="99"/>
      <c r="I32" s="98"/>
      <c r="J32" s="98">
        <f t="shared" si="0"/>
        <v>0</v>
      </c>
      <c r="K32" s="99"/>
      <c r="L32" s="99"/>
      <c r="M32" s="99"/>
      <c r="N32" s="99"/>
      <c r="O32" s="99"/>
      <c r="P32" s="99"/>
      <c r="Q32" s="173"/>
      <c r="R32" s="310"/>
      <c r="S32" s="310"/>
      <c r="T32" s="310">
        <f t="shared" si="7"/>
        <v>0</v>
      </c>
      <c r="U32" s="310"/>
      <c r="V32" s="310"/>
      <c r="W32" s="310">
        <f t="shared" si="5"/>
        <v>0</v>
      </c>
      <c r="X32" s="310"/>
      <c r="Y32" s="310"/>
      <c r="Z32" s="310"/>
      <c r="AA32" s="380"/>
      <c r="AB32" s="380"/>
      <c r="AC32" s="239"/>
      <c r="AD32" s="99"/>
      <c r="AE32" s="310"/>
      <c r="AF32" s="310"/>
      <c r="AG32" s="284"/>
      <c r="AH32" s="284"/>
      <c r="AI32" s="380"/>
      <c r="AJ32" s="17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hidden="1">
      <c r="A33" s="102"/>
      <c r="B33" s="165"/>
      <c r="C33" s="98"/>
      <c r="D33" s="99"/>
      <c r="E33" s="99"/>
      <c r="F33" s="173"/>
      <c r="G33" s="100"/>
      <c r="H33" s="99"/>
      <c r="I33" s="98"/>
      <c r="J33" s="98"/>
      <c r="K33" s="99"/>
      <c r="L33" s="99"/>
      <c r="M33" s="99"/>
      <c r="N33" s="99"/>
      <c r="O33" s="99"/>
      <c r="P33" s="99"/>
      <c r="Q33" s="173"/>
      <c r="R33" s="310"/>
      <c r="S33" s="310"/>
      <c r="T33" s="310">
        <f t="shared" si="7"/>
        <v>0</v>
      </c>
      <c r="U33" s="310"/>
      <c r="V33" s="310"/>
      <c r="W33" s="310"/>
      <c r="X33" s="310"/>
      <c r="Y33" s="310"/>
      <c r="Z33" s="310"/>
      <c r="AA33" s="380"/>
      <c r="AB33" s="239"/>
      <c r="AC33" s="519"/>
      <c r="AD33" s="99"/>
      <c r="AE33" s="310"/>
      <c r="AF33" s="310"/>
      <c r="AG33" s="284"/>
      <c r="AH33" s="284"/>
      <c r="AI33" s="380"/>
      <c r="AJ33" s="17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 hidden="1">
      <c r="A34" s="102"/>
      <c r="B34" s="165"/>
      <c r="C34" s="98"/>
      <c r="D34" s="99"/>
      <c r="E34" s="99"/>
      <c r="F34" s="173"/>
      <c r="G34" s="100"/>
      <c r="H34" s="99"/>
      <c r="I34" s="98"/>
      <c r="J34" s="98"/>
      <c r="K34" s="99"/>
      <c r="L34" s="99"/>
      <c r="M34" s="99"/>
      <c r="N34" s="99"/>
      <c r="O34" s="99"/>
      <c r="P34" s="99"/>
      <c r="Q34" s="173"/>
      <c r="R34" s="310"/>
      <c r="S34" s="310"/>
      <c r="T34" s="310">
        <f t="shared" si="7"/>
        <v>0</v>
      </c>
      <c r="U34" s="310"/>
      <c r="V34" s="310"/>
      <c r="W34" s="310"/>
      <c r="X34" s="310"/>
      <c r="Y34" s="310"/>
      <c r="Z34" s="310"/>
      <c r="AA34" s="380"/>
      <c r="AB34" s="239"/>
      <c r="AC34" s="519"/>
      <c r="AD34" s="99"/>
      <c r="AE34" s="310"/>
      <c r="AF34" s="310"/>
      <c r="AG34" s="284"/>
      <c r="AH34" s="284"/>
      <c r="AI34" s="380"/>
      <c r="AJ34" s="17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102"/>
      <c r="B35" s="165"/>
      <c r="C35" s="98"/>
      <c r="D35" s="99"/>
      <c r="E35" s="99"/>
      <c r="F35" s="173"/>
      <c r="G35" s="100"/>
      <c r="H35" s="99"/>
      <c r="I35" s="98"/>
      <c r="J35" s="98"/>
      <c r="K35" s="99"/>
      <c r="L35" s="99"/>
      <c r="M35" s="99"/>
      <c r="N35" s="99"/>
      <c r="O35" s="99"/>
      <c r="P35" s="99"/>
      <c r="Q35" s="173"/>
      <c r="R35" s="310"/>
      <c r="S35" s="310"/>
      <c r="T35" s="310">
        <f t="shared" si="7"/>
        <v>0</v>
      </c>
      <c r="U35" s="310"/>
      <c r="V35" s="310"/>
      <c r="W35" s="310"/>
      <c r="X35" s="310"/>
      <c r="Y35" s="310"/>
      <c r="Z35" s="310"/>
      <c r="AA35" s="380"/>
      <c r="AB35" s="239"/>
      <c r="AC35" s="519"/>
      <c r="AD35" s="99"/>
      <c r="AE35" s="310"/>
      <c r="AF35" s="310"/>
      <c r="AG35" s="284"/>
      <c r="AH35" s="284"/>
      <c r="AI35" s="380"/>
      <c r="AJ35" s="17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hidden="1">
      <c r="A36" s="102"/>
      <c r="B36" s="165"/>
      <c r="C36" s="98"/>
      <c r="D36" s="99"/>
      <c r="E36" s="99"/>
      <c r="F36" s="173"/>
      <c r="G36" s="100"/>
      <c r="H36" s="99"/>
      <c r="I36" s="98"/>
      <c r="J36" s="98"/>
      <c r="K36" s="99"/>
      <c r="L36" s="99"/>
      <c r="M36" s="99"/>
      <c r="N36" s="99"/>
      <c r="O36" s="99"/>
      <c r="P36" s="99"/>
      <c r="Q36" s="173"/>
      <c r="R36" s="310"/>
      <c r="S36" s="310"/>
      <c r="T36" s="310">
        <f t="shared" si="7"/>
        <v>0</v>
      </c>
      <c r="U36" s="310"/>
      <c r="V36" s="310"/>
      <c r="W36" s="310"/>
      <c r="X36" s="310"/>
      <c r="Y36" s="310"/>
      <c r="Z36" s="310"/>
      <c r="AA36" s="380"/>
      <c r="AB36" s="239"/>
      <c r="AC36" s="519"/>
      <c r="AD36" s="99"/>
      <c r="AE36" s="310"/>
      <c r="AF36" s="310"/>
      <c r="AG36" s="284"/>
      <c r="AH36" s="284"/>
      <c r="AI36" s="380"/>
      <c r="AJ36" s="17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3.5" hidden="1" thickBot="1">
      <c r="A37" s="102"/>
      <c r="B37" s="165"/>
      <c r="C37" s="98"/>
      <c r="D37" s="99"/>
      <c r="E37" s="99"/>
      <c r="F37" s="173"/>
      <c r="G37" s="100"/>
      <c r="H37" s="99"/>
      <c r="I37" s="98"/>
      <c r="J37" s="98">
        <f>K37+O37+P37+Q37+R37</f>
        <v>0</v>
      </c>
      <c r="K37" s="99"/>
      <c r="L37" s="99"/>
      <c r="M37" s="99"/>
      <c r="N37" s="99"/>
      <c r="O37" s="99"/>
      <c r="P37" s="99"/>
      <c r="Q37" s="173"/>
      <c r="R37" s="310"/>
      <c r="S37" s="310"/>
      <c r="T37" s="310">
        <f t="shared" si="7"/>
        <v>0</v>
      </c>
      <c r="U37" s="310"/>
      <c r="V37" s="310"/>
      <c r="W37" s="310">
        <f>J37+U37</f>
        <v>0</v>
      </c>
      <c r="X37" s="310"/>
      <c r="Y37" s="310"/>
      <c r="Z37" s="310"/>
      <c r="AA37" s="380"/>
      <c r="AB37" s="239"/>
      <c r="AC37" s="942"/>
      <c r="AD37" s="99"/>
      <c r="AE37" s="310"/>
      <c r="AF37" s="310"/>
      <c r="AG37" s="284"/>
      <c r="AH37" s="284"/>
      <c r="AI37" s="380"/>
      <c r="AJ37" s="17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3.5" thickBot="1">
      <c r="A38" s="116"/>
      <c r="B38" s="34" t="s">
        <v>37</v>
      </c>
      <c r="C38" s="90">
        <f aca="true" t="shared" si="8" ref="C38:V38">SUM(C25:C37)</f>
        <v>0</v>
      </c>
      <c r="D38" s="91">
        <f t="shared" si="8"/>
        <v>0</v>
      </c>
      <c r="E38" s="91">
        <f>SUM(E25:E37)</f>
        <v>0</v>
      </c>
      <c r="F38" s="138">
        <f>SUM(F25:F37)</f>
        <v>0</v>
      </c>
      <c r="G38" s="197">
        <f>SUM(G25:G37)</f>
        <v>0</v>
      </c>
      <c r="H38" s="91">
        <f t="shared" si="8"/>
        <v>0</v>
      </c>
      <c r="I38" s="90">
        <f t="shared" si="8"/>
        <v>0</v>
      </c>
      <c r="J38" s="90">
        <f t="shared" si="8"/>
        <v>20467</v>
      </c>
      <c r="K38" s="91">
        <f t="shared" si="8"/>
        <v>-839</v>
      </c>
      <c r="L38" s="91">
        <f t="shared" si="8"/>
        <v>-4820</v>
      </c>
      <c r="M38" s="91"/>
      <c r="N38" s="91">
        <f t="shared" si="8"/>
        <v>3981</v>
      </c>
      <c r="O38" s="91">
        <f t="shared" si="8"/>
        <v>-1152</v>
      </c>
      <c r="P38" s="91">
        <f t="shared" si="8"/>
        <v>-16</v>
      </c>
      <c r="Q38" s="138">
        <f t="shared" si="8"/>
        <v>0</v>
      </c>
      <c r="R38" s="140">
        <f t="shared" si="8"/>
        <v>22774</v>
      </c>
      <c r="S38" s="140">
        <f t="shared" si="8"/>
        <v>-300</v>
      </c>
      <c r="T38" s="140">
        <f t="shared" si="8"/>
        <v>1044</v>
      </c>
      <c r="U38" s="140">
        <f t="shared" si="8"/>
        <v>1344</v>
      </c>
      <c r="V38" s="140">
        <f t="shared" si="8"/>
        <v>0</v>
      </c>
      <c r="W38" s="140">
        <f>U38+J38</f>
        <v>21811</v>
      </c>
      <c r="X38" s="140">
        <f>SUM(X25:X37)</f>
        <v>21811</v>
      </c>
      <c r="Y38" s="140">
        <f>SUM(Y25:Y37)</f>
        <v>0</v>
      </c>
      <c r="Z38" s="140"/>
      <c r="AA38" s="382">
        <f>SUM(AA25:AA37)</f>
        <v>0</v>
      </c>
      <c r="AB38" s="469"/>
      <c r="AC38" s="92">
        <f>SUM(AC25:AC37)</f>
        <v>-4820</v>
      </c>
      <c r="AD38" s="91"/>
      <c r="AE38" s="140"/>
      <c r="AF38" s="140"/>
      <c r="AG38" s="283"/>
      <c r="AH38" s="283"/>
      <c r="AI38" s="382"/>
      <c r="AJ38" s="337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2.75">
      <c r="A39" s="953">
        <v>1</v>
      </c>
      <c r="B39" s="947" t="s">
        <v>210</v>
      </c>
      <c r="C39" s="105">
        <f>D39+H39</f>
        <v>0</v>
      </c>
      <c r="D39" s="106"/>
      <c r="E39" s="106"/>
      <c r="F39" s="176"/>
      <c r="G39" s="107"/>
      <c r="H39" s="106"/>
      <c r="I39" s="105"/>
      <c r="J39" s="105">
        <f aca="true" t="shared" si="9" ref="J39:J50">K39+O39+P39+Q39+R39+S39</f>
        <v>-357</v>
      </c>
      <c r="K39" s="106">
        <f>L39+N39</f>
        <v>0</v>
      </c>
      <c r="L39" s="106"/>
      <c r="M39" s="106"/>
      <c r="N39" s="106"/>
      <c r="O39" s="106"/>
      <c r="P39" s="106"/>
      <c r="Q39" s="176"/>
      <c r="R39" s="217"/>
      <c r="S39" s="985">
        <v>-357</v>
      </c>
      <c r="T39" s="949">
        <f aca="true" t="shared" si="10" ref="T39:T46">S39+U39</f>
        <v>0</v>
      </c>
      <c r="U39" s="949">
        <v>357</v>
      </c>
      <c r="V39" s="217"/>
      <c r="W39" s="217">
        <f>J39+U39+V39</f>
        <v>0</v>
      </c>
      <c r="X39" s="217"/>
      <c r="Y39" s="217"/>
      <c r="Z39" s="217"/>
      <c r="AA39" s="384"/>
      <c r="AB39" s="470"/>
      <c r="AC39" s="520"/>
      <c r="AD39" s="106"/>
      <c r="AE39" s="217"/>
      <c r="AF39" s="217"/>
      <c r="AG39" s="285"/>
      <c r="AH39" s="285"/>
      <c r="AI39" s="384"/>
      <c r="AJ39" s="177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97">
        <v>3</v>
      </c>
      <c r="B40" s="164" t="s">
        <v>62</v>
      </c>
      <c r="C40" s="109">
        <f aca="true" t="shared" si="11" ref="C40:C50">D40+H40</f>
        <v>0</v>
      </c>
      <c r="D40" s="110"/>
      <c r="E40" s="110"/>
      <c r="F40" s="178"/>
      <c r="G40" s="111"/>
      <c r="H40" s="110"/>
      <c r="I40" s="109"/>
      <c r="J40" s="109">
        <f t="shared" si="9"/>
        <v>0</v>
      </c>
      <c r="K40" s="110"/>
      <c r="L40" s="110"/>
      <c r="M40" s="110"/>
      <c r="N40" s="110"/>
      <c r="O40" s="110"/>
      <c r="P40" s="110"/>
      <c r="Q40" s="178"/>
      <c r="R40" s="218"/>
      <c r="S40" s="970"/>
      <c r="T40" s="218">
        <f t="shared" si="10"/>
        <v>0</v>
      </c>
      <c r="U40" s="218"/>
      <c r="V40" s="218"/>
      <c r="W40" s="218">
        <f aca="true" t="shared" si="12" ref="W40:W50">J40+U40+V40</f>
        <v>0</v>
      </c>
      <c r="X40" s="476"/>
      <c r="Y40" s="476"/>
      <c r="Z40" s="476"/>
      <c r="AA40" s="971"/>
      <c r="AB40" s="971"/>
      <c r="AC40" s="467"/>
      <c r="AD40" s="110"/>
      <c r="AE40" s="218"/>
      <c r="AF40" s="218"/>
      <c r="AG40" s="286"/>
      <c r="AH40" s="286"/>
      <c r="AI40" s="385"/>
      <c r="AJ40" s="179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>
      <c r="A41" s="820">
        <v>1</v>
      </c>
      <c r="B41" s="821" t="s">
        <v>217</v>
      </c>
      <c r="C41" s="960">
        <f t="shared" si="11"/>
        <v>0</v>
      </c>
      <c r="D41" s="956"/>
      <c r="E41" s="956"/>
      <c r="F41" s="957"/>
      <c r="G41" s="963"/>
      <c r="H41" s="956"/>
      <c r="I41" s="960"/>
      <c r="J41" s="960">
        <f t="shared" si="9"/>
        <v>-111534</v>
      </c>
      <c r="K41" s="956">
        <v>-67663</v>
      </c>
      <c r="L41" s="956">
        <v>-66543</v>
      </c>
      <c r="M41" s="956"/>
      <c r="N41" s="956">
        <f>K41-L41</f>
        <v>-1120</v>
      </c>
      <c r="O41" s="956">
        <v>-22825</v>
      </c>
      <c r="P41" s="956">
        <v>-1346</v>
      </c>
      <c r="Q41" s="957"/>
      <c r="R41" s="958">
        <v>-19700</v>
      </c>
      <c r="S41" s="967"/>
      <c r="T41" s="958">
        <f t="shared" si="10"/>
        <v>-5300</v>
      </c>
      <c r="U41" s="958">
        <v>-5300</v>
      </c>
      <c r="V41" s="958"/>
      <c r="W41" s="958">
        <f t="shared" si="12"/>
        <v>-116834</v>
      </c>
      <c r="X41" s="967">
        <v>-116834</v>
      </c>
      <c r="Y41" s="967"/>
      <c r="Z41" s="967"/>
      <c r="AA41" s="972"/>
      <c r="AB41" s="972"/>
      <c r="AC41" s="969">
        <v>-66543</v>
      </c>
      <c r="AD41" s="110"/>
      <c r="AE41" s="218"/>
      <c r="AF41" s="218"/>
      <c r="AG41" s="286"/>
      <c r="AH41" s="286"/>
      <c r="AI41" s="385"/>
      <c r="AJ41" s="179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>
      <c r="A42" s="97">
        <v>3</v>
      </c>
      <c r="B42" s="164" t="s">
        <v>219</v>
      </c>
      <c r="C42" s="109">
        <f t="shared" si="11"/>
        <v>0</v>
      </c>
      <c r="D42" s="110"/>
      <c r="E42" s="110"/>
      <c r="F42" s="178"/>
      <c r="G42" s="111"/>
      <c r="H42" s="110"/>
      <c r="I42" s="109"/>
      <c r="J42" s="109">
        <f t="shared" si="9"/>
        <v>350</v>
      </c>
      <c r="K42" s="110"/>
      <c r="L42" s="110"/>
      <c r="M42" s="110"/>
      <c r="N42" s="110"/>
      <c r="O42" s="110"/>
      <c r="P42" s="110"/>
      <c r="Q42" s="178"/>
      <c r="R42" s="218"/>
      <c r="S42" s="970">
        <v>350</v>
      </c>
      <c r="T42" s="218">
        <f t="shared" si="10"/>
        <v>350</v>
      </c>
      <c r="U42" s="218"/>
      <c r="V42" s="218"/>
      <c r="W42" s="218">
        <f t="shared" si="12"/>
        <v>350</v>
      </c>
      <c r="X42" s="970">
        <v>350</v>
      </c>
      <c r="Y42" s="970"/>
      <c r="Z42" s="970"/>
      <c r="AA42" s="983"/>
      <c r="AB42" s="983"/>
      <c r="AC42" s="984"/>
      <c r="AD42" s="110"/>
      <c r="AE42" s="218"/>
      <c r="AF42" s="218"/>
      <c r="AG42" s="286"/>
      <c r="AH42" s="286"/>
      <c r="AI42" s="385"/>
      <c r="AJ42" s="179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2.75">
      <c r="A43" s="97">
        <v>3</v>
      </c>
      <c r="B43" s="164" t="s">
        <v>220</v>
      </c>
      <c r="C43" s="109">
        <f t="shared" si="11"/>
        <v>0</v>
      </c>
      <c r="D43" s="110"/>
      <c r="E43" s="110"/>
      <c r="F43" s="178"/>
      <c r="G43" s="111"/>
      <c r="H43" s="110"/>
      <c r="I43" s="109"/>
      <c r="J43" s="109">
        <f t="shared" si="9"/>
        <v>4800</v>
      </c>
      <c r="K43" s="110"/>
      <c r="L43" s="110"/>
      <c r="M43" s="110"/>
      <c r="N43" s="110"/>
      <c r="O43" s="110"/>
      <c r="P43" s="110"/>
      <c r="Q43" s="178"/>
      <c r="R43" s="218"/>
      <c r="S43" s="970">
        <v>4800</v>
      </c>
      <c r="T43" s="218">
        <f t="shared" si="10"/>
        <v>4800</v>
      </c>
      <c r="U43" s="218"/>
      <c r="V43" s="218"/>
      <c r="W43" s="218">
        <f t="shared" si="12"/>
        <v>4800</v>
      </c>
      <c r="X43" s="970">
        <v>4800</v>
      </c>
      <c r="Y43" s="970"/>
      <c r="Z43" s="970"/>
      <c r="AA43" s="983"/>
      <c r="AB43" s="983"/>
      <c r="AC43" s="984"/>
      <c r="AD43" s="110"/>
      <c r="AE43" s="218"/>
      <c r="AF43" s="218"/>
      <c r="AG43" s="286"/>
      <c r="AH43" s="286"/>
      <c r="AI43" s="385"/>
      <c r="AJ43" s="179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>
      <c r="A44" s="954">
        <v>1</v>
      </c>
      <c r="B44" s="923" t="s">
        <v>222</v>
      </c>
      <c r="C44" s="109">
        <f>D44+E44+F44+H44</f>
        <v>0</v>
      </c>
      <c r="D44" s="110"/>
      <c r="E44" s="682"/>
      <c r="F44" s="178"/>
      <c r="G44" s="111"/>
      <c r="H44" s="110"/>
      <c r="I44" s="109"/>
      <c r="J44" s="1025">
        <f>K44+O44+P44+Q44+R44+S44</f>
        <v>0</v>
      </c>
      <c r="K44" s="110">
        <f>L44+N44</f>
        <v>0</v>
      </c>
      <c r="L44" s="110"/>
      <c r="M44" s="110"/>
      <c r="N44" s="110"/>
      <c r="O44" s="110"/>
      <c r="P44" s="110"/>
      <c r="Q44" s="178"/>
      <c r="R44" s="218"/>
      <c r="S44" s="218"/>
      <c r="T44" s="951">
        <f t="shared" si="10"/>
        <v>2400</v>
      </c>
      <c r="U44" s="951">
        <v>2400</v>
      </c>
      <c r="V44" s="951"/>
      <c r="W44" s="951">
        <f t="shared" si="12"/>
        <v>2400</v>
      </c>
      <c r="X44" s="767">
        <v>2400</v>
      </c>
      <c r="Y44" s="970"/>
      <c r="Z44" s="970"/>
      <c r="AA44" s="983"/>
      <c r="AB44" s="983"/>
      <c r="AC44" s="984"/>
      <c r="AD44" s="110"/>
      <c r="AE44" s="218"/>
      <c r="AF44" s="218"/>
      <c r="AG44" s="286"/>
      <c r="AH44" s="286"/>
      <c r="AI44" s="385"/>
      <c r="AJ44" s="179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thickBot="1">
      <c r="A45" s="954">
        <v>1</v>
      </c>
      <c r="B45" s="923" t="s">
        <v>223</v>
      </c>
      <c r="C45" s="109">
        <f t="shared" si="11"/>
        <v>0</v>
      </c>
      <c r="D45" s="110"/>
      <c r="E45" s="110"/>
      <c r="F45" s="178"/>
      <c r="G45" s="111"/>
      <c r="H45" s="110"/>
      <c r="I45" s="109"/>
      <c r="J45" s="1025">
        <f t="shared" si="9"/>
        <v>900</v>
      </c>
      <c r="K45" s="950"/>
      <c r="L45" s="950"/>
      <c r="M45" s="950"/>
      <c r="N45" s="950"/>
      <c r="O45" s="950"/>
      <c r="P45" s="950"/>
      <c r="Q45" s="1027"/>
      <c r="R45" s="951"/>
      <c r="S45" s="767">
        <v>900</v>
      </c>
      <c r="T45" s="951">
        <f t="shared" si="10"/>
        <v>900</v>
      </c>
      <c r="U45" s="951"/>
      <c r="V45" s="951"/>
      <c r="W45" s="951">
        <f t="shared" si="12"/>
        <v>900</v>
      </c>
      <c r="X45" s="767">
        <v>900</v>
      </c>
      <c r="Y45" s="951"/>
      <c r="Z45" s="951"/>
      <c r="AA45" s="1028"/>
      <c r="AB45" s="1028"/>
      <c r="AC45" s="1029"/>
      <c r="AD45" s="110"/>
      <c r="AE45" s="218"/>
      <c r="AF45" s="218"/>
      <c r="AG45" s="286"/>
      <c r="AH45" s="286"/>
      <c r="AI45" s="385"/>
      <c r="AJ45" s="179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 hidden="1">
      <c r="A46" s="196">
        <v>3</v>
      </c>
      <c r="B46" s="164"/>
      <c r="C46" s="109">
        <f t="shared" si="11"/>
        <v>0</v>
      </c>
      <c r="D46" s="110"/>
      <c r="E46" s="110"/>
      <c r="F46" s="178"/>
      <c r="G46" s="111"/>
      <c r="H46" s="110"/>
      <c r="I46" s="109"/>
      <c r="J46" s="109">
        <f t="shared" si="9"/>
        <v>0</v>
      </c>
      <c r="K46" s="110"/>
      <c r="L46" s="110"/>
      <c r="M46" s="110"/>
      <c r="N46" s="110"/>
      <c r="O46" s="110"/>
      <c r="P46" s="110"/>
      <c r="Q46" s="178"/>
      <c r="R46" s="218"/>
      <c r="S46" s="218"/>
      <c r="T46" s="218">
        <f t="shared" si="10"/>
        <v>0</v>
      </c>
      <c r="U46" s="218"/>
      <c r="V46" s="218"/>
      <c r="W46" s="218">
        <f t="shared" si="12"/>
        <v>0</v>
      </c>
      <c r="X46" s="218"/>
      <c r="Y46" s="218"/>
      <c r="Z46" s="218"/>
      <c r="AA46" s="385"/>
      <c r="AB46" s="385"/>
      <c r="AC46" s="471"/>
      <c r="AD46" s="110"/>
      <c r="AE46" s="218"/>
      <c r="AF46" s="218"/>
      <c r="AG46" s="286"/>
      <c r="AH46" s="286"/>
      <c r="AI46" s="385"/>
      <c r="AJ46" s="179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 hidden="1">
      <c r="A47" s="196">
        <v>3</v>
      </c>
      <c r="B47" s="164"/>
      <c r="C47" s="109">
        <f t="shared" si="11"/>
        <v>0</v>
      </c>
      <c r="D47" s="110"/>
      <c r="E47" s="110"/>
      <c r="F47" s="178"/>
      <c r="G47" s="111"/>
      <c r="H47" s="110"/>
      <c r="I47" s="109"/>
      <c r="J47" s="109">
        <f t="shared" si="9"/>
        <v>0</v>
      </c>
      <c r="K47" s="110"/>
      <c r="L47" s="110"/>
      <c r="M47" s="110"/>
      <c r="N47" s="110"/>
      <c r="O47" s="110"/>
      <c r="P47" s="110"/>
      <c r="Q47" s="178"/>
      <c r="R47" s="218"/>
      <c r="S47" s="218"/>
      <c r="T47" s="218"/>
      <c r="U47" s="218"/>
      <c r="V47" s="218"/>
      <c r="W47" s="218">
        <f t="shared" si="12"/>
        <v>0</v>
      </c>
      <c r="X47" s="218"/>
      <c r="Y47" s="218"/>
      <c r="Z47" s="218"/>
      <c r="AA47" s="385"/>
      <c r="AB47" s="385"/>
      <c r="AC47" s="471"/>
      <c r="AD47" s="110"/>
      <c r="AE47" s="218"/>
      <c r="AF47" s="218"/>
      <c r="AG47" s="286"/>
      <c r="AH47" s="286"/>
      <c r="AI47" s="385"/>
      <c r="AJ47" s="179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 hidden="1">
      <c r="A48" s="196">
        <v>3</v>
      </c>
      <c r="B48" s="164"/>
      <c r="C48" s="109"/>
      <c r="D48" s="110"/>
      <c r="E48" s="110"/>
      <c r="F48" s="178"/>
      <c r="G48" s="111"/>
      <c r="H48" s="110"/>
      <c r="I48" s="109"/>
      <c r="J48" s="109">
        <f t="shared" si="9"/>
        <v>0</v>
      </c>
      <c r="K48" s="110">
        <f>L48+N48</f>
        <v>0</v>
      </c>
      <c r="L48" s="110"/>
      <c r="M48" s="110"/>
      <c r="N48" s="110"/>
      <c r="O48" s="110"/>
      <c r="P48" s="110"/>
      <c r="Q48" s="178"/>
      <c r="R48" s="218"/>
      <c r="S48" s="218"/>
      <c r="T48" s="218"/>
      <c r="U48" s="218"/>
      <c r="V48" s="218"/>
      <c r="W48" s="218">
        <f t="shared" si="12"/>
        <v>0</v>
      </c>
      <c r="X48" s="218"/>
      <c r="Y48" s="218"/>
      <c r="Z48" s="218"/>
      <c r="AA48" s="385"/>
      <c r="AB48" s="385"/>
      <c r="AC48" s="471"/>
      <c r="AD48" s="110"/>
      <c r="AE48" s="218"/>
      <c r="AF48" s="218"/>
      <c r="AG48" s="286"/>
      <c r="AH48" s="286"/>
      <c r="AI48" s="385"/>
      <c r="AJ48" s="179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 hidden="1">
      <c r="A49" s="196">
        <v>3</v>
      </c>
      <c r="B49" s="164"/>
      <c r="C49" s="109"/>
      <c r="D49" s="110"/>
      <c r="E49" s="110"/>
      <c r="F49" s="178"/>
      <c r="G49" s="111"/>
      <c r="H49" s="110"/>
      <c r="I49" s="109"/>
      <c r="J49" s="109">
        <f t="shared" si="9"/>
        <v>0</v>
      </c>
      <c r="K49" s="110"/>
      <c r="L49" s="110"/>
      <c r="M49" s="110"/>
      <c r="N49" s="110"/>
      <c r="O49" s="110"/>
      <c r="P49" s="110"/>
      <c r="Q49" s="178"/>
      <c r="R49" s="218"/>
      <c r="S49" s="218"/>
      <c r="T49" s="218"/>
      <c r="U49" s="218"/>
      <c r="V49" s="218"/>
      <c r="W49" s="218">
        <f t="shared" si="12"/>
        <v>0</v>
      </c>
      <c r="X49" s="218"/>
      <c r="Y49" s="218"/>
      <c r="Z49" s="218"/>
      <c r="AA49" s="385"/>
      <c r="AB49" s="385"/>
      <c r="AC49" s="471"/>
      <c r="AD49" s="110"/>
      <c r="AE49" s="218"/>
      <c r="AF49" s="218"/>
      <c r="AG49" s="286"/>
      <c r="AH49" s="286"/>
      <c r="AI49" s="385"/>
      <c r="AJ49" s="179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3.5" hidden="1" thickBot="1">
      <c r="A50" s="97">
        <v>3</v>
      </c>
      <c r="B50" s="164"/>
      <c r="C50" s="109">
        <f t="shared" si="11"/>
        <v>0</v>
      </c>
      <c r="D50" s="110"/>
      <c r="E50" s="110"/>
      <c r="F50" s="178"/>
      <c r="G50" s="111"/>
      <c r="H50" s="110"/>
      <c r="I50" s="109"/>
      <c r="J50" s="109">
        <f t="shared" si="9"/>
        <v>0</v>
      </c>
      <c r="K50" s="110"/>
      <c r="L50" s="110"/>
      <c r="M50" s="110"/>
      <c r="N50" s="110"/>
      <c r="O50" s="110"/>
      <c r="P50" s="110"/>
      <c r="Q50" s="178"/>
      <c r="R50" s="218"/>
      <c r="S50" s="218"/>
      <c r="T50" s="218"/>
      <c r="U50" s="218"/>
      <c r="V50" s="218"/>
      <c r="W50" s="218">
        <f t="shared" si="12"/>
        <v>0</v>
      </c>
      <c r="X50" s="218"/>
      <c r="Y50" s="218"/>
      <c r="Z50" s="218"/>
      <c r="AA50" s="385"/>
      <c r="AB50" s="471"/>
      <c r="AC50" s="521"/>
      <c r="AD50" s="110"/>
      <c r="AE50" s="218"/>
      <c r="AF50" s="218"/>
      <c r="AG50" s="286"/>
      <c r="AH50" s="286"/>
      <c r="AI50" s="385"/>
      <c r="AJ50" s="179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7" ht="13.5" thickBot="1">
      <c r="A51" s="116"/>
      <c r="B51" s="34" t="s">
        <v>38</v>
      </c>
      <c r="C51" s="85">
        <f>SUM(C39:C50)</f>
        <v>0</v>
      </c>
      <c r="D51" s="85">
        <f>SUM(D39:D50)</f>
        <v>0</v>
      </c>
      <c r="E51" s="85"/>
      <c r="F51" s="137"/>
      <c r="G51" s="88"/>
      <c r="H51" s="85">
        <f>SUM(H39:H50)</f>
        <v>0</v>
      </c>
      <c r="I51" s="85">
        <f>SUM(I39:I50)</f>
        <v>0</v>
      </c>
      <c r="J51" s="85">
        <f>SUM(J39:J50)+111534</f>
        <v>5693</v>
      </c>
      <c r="K51" s="85">
        <f>SUM(K39:K50)+67663</f>
        <v>0</v>
      </c>
      <c r="L51" s="85">
        <f>SUM(L39:L50)+66543</f>
        <v>0</v>
      </c>
      <c r="M51" s="85"/>
      <c r="N51" s="85">
        <f>SUM(N39:N50)+1120</f>
        <v>0</v>
      </c>
      <c r="O51" s="85">
        <f>SUM(O39:O50)+22825</f>
        <v>0</v>
      </c>
      <c r="P51" s="85">
        <f>SUM(P39:P50)+1346</f>
        <v>0</v>
      </c>
      <c r="Q51" s="137">
        <f>SUM(Q39:Q50)</f>
        <v>0</v>
      </c>
      <c r="R51" s="87">
        <f>SUM(R39:R50)+19700</f>
        <v>0</v>
      </c>
      <c r="S51" s="87">
        <f>SUM(S39:S50)</f>
        <v>5693</v>
      </c>
      <c r="T51" s="87">
        <f>SUM(T39:T50)+5300</f>
        <v>8450</v>
      </c>
      <c r="U51" s="87">
        <f>SUM(U39:U50)+5300</f>
        <v>2757</v>
      </c>
      <c r="V51" s="87">
        <f>SUM(V39:V50)</f>
        <v>0</v>
      </c>
      <c r="W51" s="87">
        <f>SUM(W39:W50)+116834</f>
        <v>8450</v>
      </c>
      <c r="X51" s="87">
        <f>SUM(X39:X50)+116834</f>
        <v>8450</v>
      </c>
      <c r="Y51" s="87">
        <f>SUM(Y39:Y50)</f>
        <v>0</v>
      </c>
      <c r="Z51" s="87">
        <f>SUM(Z39:Z50)</f>
        <v>0</v>
      </c>
      <c r="AA51" s="175">
        <f>SUM(AA39:AA50)</f>
        <v>0</v>
      </c>
      <c r="AB51" s="117"/>
      <c r="AC51" s="85">
        <f>SUM(AC39:AC50)+66543</f>
        <v>0</v>
      </c>
      <c r="AD51" s="86"/>
      <c r="AE51" s="87"/>
      <c r="AF51" s="87"/>
      <c r="AG51" s="87"/>
      <c r="AH51" s="87"/>
      <c r="AI51" s="175"/>
      <c r="AJ51" s="117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2.75">
      <c r="A52" s="953">
        <v>1</v>
      </c>
      <c r="B52" s="1041" t="s">
        <v>230</v>
      </c>
      <c r="C52" s="105">
        <f aca="true" t="shared" si="13" ref="C52:C65">D52+H52</f>
        <v>0</v>
      </c>
      <c r="D52" s="106"/>
      <c r="E52" s="106"/>
      <c r="F52" s="176"/>
      <c r="G52" s="107"/>
      <c r="H52" s="106"/>
      <c r="I52" s="105"/>
      <c r="J52" s="920">
        <f aca="true" t="shared" si="14" ref="J52:J65">K52+O52+P52+Q52+R52+S52</f>
        <v>4025</v>
      </c>
      <c r="K52" s="1045">
        <f>L52+N52</f>
        <v>0</v>
      </c>
      <c r="L52" s="1045"/>
      <c r="M52" s="1045"/>
      <c r="N52" s="1045"/>
      <c r="O52" s="1045"/>
      <c r="P52" s="1045"/>
      <c r="Q52" s="1046"/>
      <c r="R52" s="985">
        <v>4025</v>
      </c>
      <c r="S52" s="217"/>
      <c r="T52" s="217">
        <f>S52+U52</f>
        <v>0</v>
      </c>
      <c r="U52" s="217"/>
      <c r="V52" s="338"/>
      <c r="W52" s="767">
        <f>J52+U52</f>
        <v>4025</v>
      </c>
      <c r="X52" s="985">
        <v>4025</v>
      </c>
      <c r="Y52" s="217"/>
      <c r="Z52" s="217"/>
      <c r="AA52" s="384"/>
      <c r="AB52" s="470"/>
      <c r="AC52" s="1047"/>
      <c r="AD52" s="106"/>
      <c r="AE52" s="217"/>
      <c r="AF52" s="217"/>
      <c r="AG52" s="285"/>
      <c r="AH52" s="285"/>
      <c r="AI52" s="384"/>
      <c r="AJ52" s="177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2.75">
      <c r="A53" s="97">
        <v>3</v>
      </c>
      <c r="B53" s="56" t="s">
        <v>230</v>
      </c>
      <c r="C53" s="109">
        <f t="shared" si="13"/>
        <v>0</v>
      </c>
      <c r="D53" s="119"/>
      <c r="E53" s="119"/>
      <c r="F53" s="213"/>
      <c r="G53" s="120"/>
      <c r="H53" s="119"/>
      <c r="I53" s="118"/>
      <c r="J53" s="109">
        <f t="shared" si="14"/>
        <v>0</v>
      </c>
      <c r="K53" s="684">
        <f aca="true" t="shared" si="15" ref="K53:K65">L53+N53</f>
        <v>-3043</v>
      </c>
      <c r="L53" s="684">
        <v>-3143</v>
      </c>
      <c r="M53" s="684"/>
      <c r="N53" s="684">
        <v>100</v>
      </c>
      <c r="O53" s="684">
        <v>-5169</v>
      </c>
      <c r="P53" s="684">
        <v>-63</v>
      </c>
      <c r="Q53" s="1044"/>
      <c r="R53" s="447">
        <v>8275</v>
      </c>
      <c r="S53" s="338"/>
      <c r="T53" s="338">
        <f aca="true" t="shared" si="16" ref="T53:T65">S53+U53</f>
        <v>0</v>
      </c>
      <c r="U53" s="338"/>
      <c r="V53" s="338"/>
      <c r="W53" s="338">
        <f aca="true" t="shared" si="17" ref="W53:W60">J53+U53</f>
        <v>0</v>
      </c>
      <c r="X53" s="338"/>
      <c r="Y53" s="338"/>
      <c r="Z53" s="338"/>
      <c r="AA53" s="386"/>
      <c r="AB53" s="472"/>
      <c r="AC53" s="914">
        <v>-3143</v>
      </c>
      <c r="AD53" s="119"/>
      <c r="AE53" s="338"/>
      <c r="AF53" s="338"/>
      <c r="AG53" s="339"/>
      <c r="AH53" s="339"/>
      <c r="AI53" s="386"/>
      <c r="AJ53" s="340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>
      <c r="A54" s="97">
        <v>3</v>
      </c>
      <c r="B54" s="164" t="s">
        <v>231</v>
      </c>
      <c r="C54" s="109">
        <f t="shared" si="13"/>
        <v>0</v>
      </c>
      <c r="D54" s="119"/>
      <c r="E54" s="119"/>
      <c r="F54" s="213"/>
      <c r="G54" s="120"/>
      <c r="H54" s="119"/>
      <c r="I54" s="118"/>
      <c r="J54" s="109">
        <f t="shared" si="14"/>
        <v>3458</v>
      </c>
      <c r="K54" s="684">
        <f t="shared" si="15"/>
        <v>0</v>
      </c>
      <c r="L54" s="119"/>
      <c r="M54" s="119"/>
      <c r="N54" s="119"/>
      <c r="O54" s="119"/>
      <c r="P54" s="119"/>
      <c r="Q54" s="213"/>
      <c r="R54" s="447">
        <v>3458</v>
      </c>
      <c r="S54" s="338"/>
      <c r="T54" s="338">
        <f t="shared" si="16"/>
        <v>0</v>
      </c>
      <c r="U54" s="338"/>
      <c r="V54" s="338"/>
      <c r="W54" s="218">
        <f t="shared" si="17"/>
        <v>3458</v>
      </c>
      <c r="X54" s="447">
        <v>3458</v>
      </c>
      <c r="Y54" s="338"/>
      <c r="Z54" s="338"/>
      <c r="AA54" s="386"/>
      <c r="AB54" s="472"/>
      <c r="AC54" s="914"/>
      <c r="AD54" s="119"/>
      <c r="AE54" s="338"/>
      <c r="AF54" s="338"/>
      <c r="AG54" s="339"/>
      <c r="AH54" s="339"/>
      <c r="AI54" s="386"/>
      <c r="AJ54" s="340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>
      <c r="A55" s="1055">
        <v>1</v>
      </c>
      <c r="B55" s="938" t="s">
        <v>235</v>
      </c>
      <c r="C55" s="109">
        <f>D55+H55</f>
        <v>0</v>
      </c>
      <c r="D55" s="119"/>
      <c r="E55" s="119"/>
      <c r="F55" s="213"/>
      <c r="G55" s="120"/>
      <c r="H55" s="119"/>
      <c r="I55" s="118"/>
      <c r="J55" s="1025">
        <f t="shared" si="14"/>
        <v>16768</v>
      </c>
      <c r="K55" s="710">
        <f t="shared" si="15"/>
        <v>0</v>
      </c>
      <c r="L55" s="1016"/>
      <c r="M55" s="1016"/>
      <c r="N55" s="1016"/>
      <c r="O55" s="1016"/>
      <c r="P55" s="1016"/>
      <c r="Q55" s="1017"/>
      <c r="R55" s="685">
        <v>16768</v>
      </c>
      <c r="S55" s="1019"/>
      <c r="T55" s="1019">
        <f>S55+U55</f>
        <v>0</v>
      </c>
      <c r="U55" s="1019"/>
      <c r="V55" s="1019"/>
      <c r="W55" s="951">
        <f>J55+U55</f>
        <v>16768</v>
      </c>
      <c r="X55" s="685">
        <v>16768</v>
      </c>
      <c r="Y55" s="1019"/>
      <c r="Z55" s="1019"/>
      <c r="AA55" s="1021"/>
      <c r="AB55" s="1023"/>
      <c r="AC55" s="1056"/>
      <c r="AD55" s="119"/>
      <c r="AE55" s="338"/>
      <c r="AF55" s="338"/>
      <c r="AG55" s="339"/>
      <c r="AH55" s="339"/>
      <c r="AI55" s="386"/>
      <c r="AJ55" s="340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2.75">
      <c r="A56" s="1055">
        <v>1</v>
      </c>
      <c r="B56" s="938" t="s">
        <v>236</v>
      </c>
      <c r="C56" s="109">
        <f>D56+H56</f>
        <v>0</v>
      </c>
      <c r="D56" s="119"/>
      <c r="E56" s="119"/>
      <c r="F56" s="213"/>
      <c r="G56" s="120"/>
      <c r="H56" s="119"/>
      <c r="I56" s="118"/>
      <c r="J56" s="1025">
        <f t="shared" si="14"/>
        <v>5</v>
      </c>
      <c r="K56" s="684">
        <f t="shared" si="15"/>
        <v>0</v>
      </c>
      <c r="L56" s="119"/>
      <c r="M56" s="119"/>
      <c r="N56" s="119"/>
      <c r="O56" s="119"/>
      <c r="P56" s="119"/>
      <c r="Q56" s="213"/>
      <c r="R56" s="338"/>
      <c r="S56" s="1019">
        <v>5</v>
      </c>
      <c r="T56" s="1019">
        <f>S56+U56</f>
        <v>0</v>
      </c>
      <c r="U56" s="1019">
        <v>-5</v>
      </c>
      <c r="V56" s="338"/>
      <c r="W56" s="218">
        <f>J56+U56</f>
        <v>0</v>
      </c>
      <c r="X56" s="338"/>
      <c r="Y56" s="338"/>
      <c r="Z56" s="338"/>
      <c r="AA56" s="386"/>
      <c r="AB56" s="472"/>
      <c r="AC56" s="914"/>
      <c r="AD56" s="119"/>
      <c r="AE56" s="338"/>
      <c r="AF56" s="338"/>
      <c r="AG56" s="339"/>
      <c r="AH56" s="339"/>
      <c r="AI56" s="386"/>
      <c r="AJ56" s="340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>
      <c r="A57" s="97">
        <v>3</v>
      </c>
      <c r="B57" s="164" t="s">
        <v>237</v>
      </c>
      <c r="C57" s="109">
        <f>D57+H57</f>
        <v>0</v>
      </c>
      <c r="D57" s="119"/>
      <c r="E57" s="119"/>
      <c r="F57" s="213"/>
      <c r="G57" s="120"/>
      <c r="H57" s="119"/>
      <c r="I57" s="118"/>
      <c r="J57" s="109">
        <f t="shared" si="14"/>
        <v>82308</v>
      </c>
      <c r="K57" s="684">
        <f t="shared" si="15"/>
        <v>60521</v>
      </c>
      <c r="L57" s="684">
        <v>60521</v>
      </c>
      <c r="M57" s="684"/>
      <c r="N57" s="684">
        <v>0</v>
      </c>
      <c r="O57" s="684">
        <v>20577</v>
      </c>
      <c r="P57" s="684">
        <v>1210</v>
      </c>
      <c r="Q57" s="1044"/>
      <c r="R57" s="447"/>
      <c r="S57" s="338"/>
      <c r="T57" s="338">
        <f>S57+U57</f>
        <v>-14257</v>
      </c>
      <c r="U57" s="338">
        <v>-14257</v>
      </c>
      <c r="V57" s="338"/>
      <c r="W57" s="218">
        <f>J57+U57</f>
        <v>68051</v>
      </c>
      <c r="X57" s="447">
        <v>68051</v>
      </c>
      <c r="Y57" s="338"/>
      <c r="Z57" s="338"/>
      <c r="AA57" s="386"/>
      <c r="AB57" s="472"/>
      <c r="AC57" s="914">
        <v>60521</v>
      </c>
      <c r="AD57" s="119"/>
      <c r="AE57" s="338"/>
      <c r="AF57" s="338"/>
      <c r="AG57" s="339"/>
      <c r="AH57" s="339"/>
      <c r="AI57" s="386"/>
      <c r="AJ57" s="340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2.75">
      <c r="A58" s="97">
        <v>3</v>
      </c>
      <c r="B58" s="164" t="s">
        <v>238</v>
      </c>
      <c r="C58" s="109">
        <f>D58+H58</f>
        <v>0</v>
      </c>
      <c r="D58" s="119"/>
      <c r="E58" s="119"/>
      <c r="F58" s="213"/>
      <c r="G58" s="120"/>
      <c r="H58" s="119"/>
      <c r="I58" s="118"/>
      <c r="J58" s="109">
        <f t="shared" si="14"/>
        <v>15000</v>
      </c>
      <c r="K58" s="684">
        <f t="shared" si="15"/>
        <v>0</v>
      </c>
      <c r="L58" s="119"/>
      <c r="M58" s="119"/>
      <c r="N58" s="119"/>
      <c r="O58" s="119"/>
      <c r="P58" s="119"/>
      <c r="Q58" s="213"/>
      <c r="R58" s="447">
        <v>15000</v>
      </c>
      <c r="S58" s="338"/>
      <c r="T58" s="338">
        <f>S58+U58</f>
        <v>0</v>
      </c>
      <c r="U58" s="338"/>
      <c r="V58" s="338"/>
      <c r="W58" s="218">
        <f>J58+U58</f>
        <v>15000</v>
      </c>
      <c r="X58" s="447">
        <v>15000</v>
      </c>
      <c r="Y58" s="338"/>
      <c r="Z58" s="338"/>
      <c r="AA58" s="386"/>
      <c r="AB58" s="472"/>
      <c r="AC58" s="914"/>
      <c r="AD58" s="119"/>
      <c r="AE58" s="338"/>
      <c r="AF58" s="338"/>
      <c r="AG58" s="339"/>
      <c r="AH58" s="339"/>
      <c r="AI58" s="386"/>
      <c r="AJ58" s="340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>
      <c r="A59" s="1055">
        <v>1</v>
      </c>
      <c r="B59" s="938" t="s">
        <v>245</v>
      </c>
      <c r="C59" s="109">
        <f t="shared" si="13"/>
        <v>0</v>
      </c>
      <c r="D59" s="119"/>
      <c r="E59" s="119"/>
      <c r="F59" s="213"/>
      <c r="G59" s="120"/>
      <c r="H59" s="119"/>
      <c r="I59" s="118"/>
      <c r="J59" s="1025">
        <f t="shared" si="14"/>
        <v>16741</v>
      </c>
      <c r="K59" s="710">
        <f t="shared" si="15"/>
        <v>0</v>
      </c>
      <c r="L59" s="1016"/>
      <c r="M59" s="1016"/>
      <c r="N59" s="1016"/>
      <c r="O59" s="1016"/>
      <c r="P59" s="1016"/>
      <c r="Q59" s="1017"/>
      <c r="R59" s="1019"/>
      <c r="S59" s="685">
        <v>16741</v>
      </c>
      <c r="T59" s="1019">
        <f t="shared" si="16"/>
        <v>18756</v>
      </c>
      <c r="U59" s="1019">
        <v>2015</v>
      </c>
      <c r="V59" s="1019"/>
      <c r="W59" s="951">
        <f t="shared" si="17"/>
        <v>18756</v>
      </c>
      <c r="X59" s="685">
        <v>18756</v>
      </c>
      <c r="Y59" s="338"/>
      <c r="Z59" s="338"/>
      <c r="AA59" s="387"/>
      <c r="AB59" s="473"/>
      <c r="AC59" s="914"/>
      <c r="AD59" s="119"/>
      <c r="AE59" s="338"/>
      <c r="AF59" s="338"/>
      <c r="AG59" s="341"/>
      <c r="AH59" s="341"/>
      <c r="AI59" s="387"/>
      <c r="AJ59" s="340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>
      <c r="A60" s="97">
        <v>3</v>
      </c>
      <c r="B60" s="164" t="s">
        <v>246</v>
      </c>
      <c r="C60" s="109">
        <f t="shared" si="13"/>
        <v>0</v>
      </c>
      <c r="D60" s="119"/>
      <c r="E60" s="119"/>
      <c r="F60" s="213"/>
      <c r="G60" s="120"/>
      <c r="H60" s="119"/>
      <c r="I60" s="118"/>
      <c r="J60" s="109">
        <f t="shared" si="14"/>
        <v>0</v>
      </c>
      <c r="K60" s="684">
        <f t="shared" si="15"/>
        <v>0</v>
      </c>
      <c r="L60" s="119"/>
      <c r="M60" s="119"/>
      <c r="N60" s="119"/>
      <c r="O60" s="119"/>
      <c r="P60" s="119"/>
      <c r="Q60" s="213"/>
      <c r="R60" s="338"/>
      <c r="S60" s="338"/>
      <c r="T60" s="338">
        <f t="shared" si="16"/>
        <v>2600</v>
      </c>
      <c r="U60" s="338">
        <v>2600</v>
      </c>
      <c r="V60" s="338"/>
      <c r="W60" s="218">
        <f t="shared" si="17"/>
        <v>2600</v>
      </c>
      <c r="X60" s="447">
        <v>2600</v>
      </c>
      <c r="Y60" s="338"/>
      <c r="Z60" s="338"/>
      <c r="AA60" s="386"/>
      <c r="AB60" s="472"/>
      <c r="AC60" s="914"/>
      <c r="AD60" s="119"/>
      <c r="AE60" s="338"/>
      <c r="AF60" s="338"/>
      <c r="AG60" s="339"/>
      <c r="AH60" s="339"/>
      <c r="AI60" s="386"/>
      <c r="AJ60" s="340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>
      <c r="A61" s="97">
        <v>3</v>
      </c>
      <c r="B61" s="164" t="s">
        <v>248</v>
      </c>
      <c r="C61" s="109">
        <f t="shared" si="13"/>
        <v>0</v>
      </c>
      <c r="D61" s="110"/>
      <c r="E61" s="110"/>
      <c r="F61" s="178"/>
      <c r="G61" s="111"/>
      <c r="H61" s="110"/>
      <c r="I61" s="109"/>
      <c r="J61" s="109">
        <f t="shared" si="14"/>
        <v>0</v>
      </c>
      <c r="K61" s="684">
        <f t="shared" si="15"/>
        <v>0</v>
      </c>
      <c r="L61" s="119"/>
      <c r="M61" s="119"/>
      <c r="N61" s="119"/>
      <c r="O61" s="110"/>
      <c r="P61" s="110"/>
      <c r="Q61" s="178"/>
      <c r="R61" s="218"/>
      <c r="S61" s="218"/>
      <c r="T61" s="218">
        <f t="shared" si="16"/>
        <v>13790</v>
      </c>
      <c r="U61" s="218">
        <v>13790</v>
      </c>
      <c r="V61" s="218"/>
      <c r="W61" s="218">
        <f>J61+U61</f>
        <v>13790</v>
      </c>
      <c r="X61" s="476">
        <v>13790</v>
      </c>
      <c r="Y61" s="218"/>
      <c r="Z61" s="218"/>
      <c r="AA61" s="385"/>
      <c r="AB61" s="471"/>
      <c r="AC61" s="914"/>
      <c r="AD61" s="110"/>
      <c r="AE61" s="218"/>
      <c r="AF61" s="218"/>
      <c r="AG61" s="286"/>
      <c r="AH61" s="286"/>
      <c r="AI61" s="385"/>
      <c r="AJ61" s="179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>
      <c r="A62" s="1055">
        <v>1</v>
      </c>
      <c r="B62" s="938" t="s">
        <v>252</v>
      </c>
      <c r="C62" s="109">
        <f t="shared" si="13"/>
        <v>0</v>
      </c>
      <c r="D62" s="110"/>
      <c r="E62" s="110"/>
      <c r="F62" s="178"/>
      <c r="G62" s="111"/>
      <c r="H62" s="110"/>
      <c r="I62" s="109"/>
      <c r="J62" s="1025">
        <f t="shared" si="14"/>
        <v>2290</v>
      </c>
      <c r="K62" s="710">
        <f t="shared" si="15"/>
        <v>0</v>
      </c>
      <c r="L62" s="1016"/>
      <c r="M62" s="1016"/>
      <c r="N62" s="1016"/>
      <c r="O62" s="950"/>
      <c r="P62" s="950"/>
      <c r="Q62" s="1027"/>
      <c r="R62" s="767">
        <v>2290</v>
      </c>
      <c r="S62" s="951"/>
      <c r="T62" s="951">
        <f t="shared" si="16"/>
        <v>0</v>
      </c>
      <c r="U62" s="951"/>
      <c r="V62" s="951"/>
      <c r="W62" s="951">
        <f>J62+U62</f>
        <v>2290</v>
      </c>
      <c r="X62" s="767">
        <v>2290</v>
      </c>
      <c r="Y62" s="218"/>
      <c r="Z62" s="218"/>
      <c r="AA62" s="385"/>
      <c r="AB62" s="471"/>
      <c r="AC62" s="914"/>
      <c r="AD62" s="110"/>
      <c r="AE62" s="218"/>
      <c r="AF62" s="218"/>
      <c r="AG62" s="286"/>
      <c r="AH62" s="286"/>
      <c r="AI62" s="385"/>
      <c r="AJ62" s="179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>
      <c r="A63" s="1055">
        <v>1</v>
      </c>
      <c r="B63" s="938" t="s">
        <v>254</v>
      </c>
      <c r="C63" s="183">
        <f t="shared" si="13"/>
        <v>0</v>
      </c>
      <c r="D63" s="184"/>
      <c r="E63" s="184"/>
      <c r="F63" s="180"/>
      <c r="G63" s="186"/>
      <c r="H63" s="184"/>
      <c r="I63" s="183"/>
      <c r="J63" s="1079">
        <f t="shared" si="14"/>
        <v>14328</v>
      </c>
      <c r="K63" s="684">
        <f t="shared" si="15"/>
        <v>0</v>
      </c>
      <c r="L63" s="119"/>
      <c r="M63" s="119"/>
      <c r="N63" s="119"/>
      <c r="O63" s="184"/>
      <c r="P63" s="184"/>
      <c r="Q63" s="180"/>
      <c r="R63" s="342"/>
      <c r="S63" s="1077">
        <v>14328</v>
      </c>
      <c r="T63" s="1076">
        <f>U63+S63</f>
        <v>14328</v>
      </c>
      <c r="U63" s="1076"/>
      <c r="V63" s="1076"/>
      <c r="W63" s="1076">
        <f>J63+U63</f>
        <v>14328</v>
      </c>
      <c r="X63" s="1077">
        <v>14328</v>
      </c>
      <c r="Y63" s="342"/>
      <c r="Z63" s="342"/>
      <c r="AA63" s="388"/>
      <c r="AB63" s="474"/>
      <c r="AC63" s="914"/>
      <c r="AD63" s="184"/>
      <c r="AE63" s="342"/>
      <c r="AF63" s="342"/>
      <c r="AG63" s="343"/>
      <c r="AH63" s="343"/>
      <c r="AI63" s="388"/>
      <c r="AJ63" s="181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2.75">
      <c r="A64" s="97">
        <v>3</v>
      </c>
      <c r="B64" s="164" t="s">
        <v>255</v>
      </c>
      <c r="C64" s="183">
        <f t="shared" si="13"/>
        <v>0</v>
      </c>
      <c r="D64" s="184"/>
      <c r="E64" s="184"/>
      <c r="F64" s="180"/>
      <c r="G64" s="186"/>
      <c r="H64" s="184"/>
      <c r="I64" s="183"/>
      <c r="J64" s="1087">
        <f t="shared" si="14"/>
        <v>1666</v>
      </c>
      <c r="K64" s="682">
        <f t="shared" si="15"/>
        <v>1220</v>
      </c>
      <c r="L64" s="682">
        <v>1220</v>
      </c>
      <c r="M64" s="110"/>
      <c r="N64" s="110"/>
      <c r="O64" s="682">
        <v>422</v>
      </c>
      <c r="P64" s="1088">
        <v>24</v>
      </c>
      <c r="Q64" s="180"/>
      <c r="R64" s="342"/>
      <c r="S64" s="1077"/>
      <c r="T64" s="1082">
        <f>U64+S64</f>
        <v>0</v>
      </c>
      <c r="U64" s="1076"/>
      <c r="V64" s="1076"/>
      <c r="W64" s="1082">
        <f>J64+U64</f>
        <v>1666</v>
      </c>
      <c r="X64" s="1072">
        <v>1666</v>
      </c>
      <c r="Y64" s="342"/>
      <c r="Z64" s="342"/>
      <c r="AA64" s="388"/>
      <c r="AB64" s="474"/>
      <c r="AC64" s="1084">
        <v>1220</v>
      </c>
      <c r="AD64" s="184"/>
      <c r="AE64" s="342"/>
      <c r="AF64" s="342"/>
      <c r="AG64" s="343"/>
      <c r="AH64" s="343"/>
      <c r="AI64" s="388"/>
      <c r="AJ64" s="181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thickBot="1">
      <c r="A65" s="97">
        <v>3</v>
      </c>
      <c r="B65" s="164" t="s">
        <v>257</v>
      </c>
      <c r="C65" s="183">
        <f t="shared" si="13"/>
        <v>0</v>
      </c>
      <c r="D65" s="184"/>
      <c r="E65" s="184"/>
      <c r="F65" s="180"/>
      <c r="G65" s="186"/>
      <c r="H65" s="184"/>
      <c r="I65" s="183"/>
      <c r="J65" s="1085">
        <f t="shared" si="14"/>
        <v>0</v>
      </c>
      <c r="K65" s="1086">
        <f t="shared" si="15"/>
        <v>5233</v>
      </c>
      <c r="L65" s="682">
        <v>5782</v>
      </c>
      <c r="M65" s="682">
        <v>-495</v>
      </c>
      <c r="N65" s="682">
        <v>-549</v>
      </c>
      <c r="O65" s="682">
        <v>229</v>
      </c>
      <c r="P65" s="682">
        <v>100</v>
      </c>
      <c r="Q65" s="110"/>
      <c r="R65" s="1072">
        <v>-5562</v>
      </c>
      <c r="S65" s="342"/>
      <c r="T65" s="342">
        <f t="shared" si="16"/>
        <v>0</v>
      </c>
      <c r="U65" s="342"/>
      <c r="V65" s="342"/>
      <c r="W65" s="342">
        <f>J65+U65</f>
        <v>0</v>
      </c>
      <c r="X65" s="342"/>
      <c r="Y65" s="342"/>
      <c r="Z65" s="342"/>
      <c r="AA65" s="388"/>
      <c r="AB65" s="474"/>
      <c r="AC65" s="1089">
        <v>5782</v>
      </c>
      <c r="AD65" s="184"/>
      <c r="AE65" s="342"/>
      <c r="AF65" s="342"/>
      <c r="AG65" s="343"/>
      <c r="AH65" s="343"/>
      <c r="AI65" s="388"/>
      <c r="AJ65" s="181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3.5" thickBot="1">
      <c r="A66" s="116">
        <v>3</v>
      </c>
      <c r="B66" s="34" t="s">
        <v>39</v>
      </c>
      <c r="C66" s="85">
        <f aca="true" t="shared" si="18" ref="C66:X66">SUM(C52:C65)</f>
        <v>0</v>
      </c>
      <c r="D66" s="85">
        <f t="shared" si="18"/>
        <v>0</v>
      </c>
      <c r="E66" s="85">
        <f>SUM(E52:E65)</f>
        <v>0</v>
      </c>
      <c r="F66" s="137">
        <f>SUM(F52:F65)</f>
        <v>0</v>
      </c>
      <c r="G66" s="88">
        <f>SUM(G52:G65)</f>
        <v>0</v>
      </c>
      <c r="H66" s="85">
        <f t="shared" si="18"/>
        <v>0</v>
      </c>
      <c r="I66" s="85">
        <f t="shared" si="18"/>
        <v>0</v>
      </c>
      <c r="J66" s="85">
        <f t="shared" si="18"/>
        <v>156589</v>
      </c>
      <c r="K66" s="85">
        <f t="shared" si="18"/>
        <v>63931</v>
      </c>
      <c r="L66" s="85">
        <f t="shared" si="18"/>
        <v>64380</v>
      </c>
      <c r="M66" s="85"/>
      <c r="N66" s="85">
        <f t="shared" si="18"/>
        <v>-449</v>
      </c>
      <c r="O66" s="85">
        <f t="shared" si="18"/>
        <v>16059</v>
      </c>
      <c r="P66" s="85">
        <f t="shared" si="18"/>
        <v>1271</v>
      </c>
      <c r="Q66" s="137">
        <f t="shared" si="18"/>
        <v>0</v>
      </c>
      <c r="R66" s="87">
        <f t="shared" si="18"/>
        <v>44254</v>
      </c>
      <c r="S66" s="87">
        <f t="shared" si="18"/>
        <v>31074</v>
      </c>
      <c r="T66" s="87">
        <f t="shared" si="18"/>
        <v>35217</v>
      </c>
      <c r="U66" s="87">
        <f t="shared" si="18"/>
        <v>4143</v>
      </c>
      <c r="V66" s="87">
        <f t="shared" si="18"/>
        <v>0</v>
      </c>
      <c r="W66" s="87">
        <f t="shared" si="18"/>
        <v>160732</v>
      </c>
      <c r="X66" s="87">
        <f t="shared" si="18"/>
        <v>160732</v>
      </c>
      <c r="Y66" s="87">
        <f>SUM(Y52:Y65)</f>
        <v>0</v>
      </c>
      <c r="Z66" s="87"/>
      <c r="AA66" s="175">
        <f>SUM(AA52:AA65)</f>
        <v>0</v>
      </c>
      <c r="AB66" s="117"/>
      <c r="AC66" s="85">
        <f>SUM(AC52:AC65)</f>
        <v>64380</v>
      </c>
      <c r="AD66" s="86"/>
      <c r="AE66" s="87"/>
      <c r="AF66" s="87"/>
      <c r="AG66" s="87"/>
      <c r="AH66" s="87"/>
      <c r="AI66" s="175"/>
      <c r="AJ66" s="117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6" ht="13.5" thickBot="1">
      <c r="A67" s="2"/>
      <c r="B67" s="43" t="s">
        <v>40</v>
      </c>
      <c r="C67" s="89">
        <f aca="true" t="shared" si="19" ref="C67:X67">C24+C38+C51+C66</f>
        <v>0</v>
      </c>
      <c r="D67" s="136">
        <f t="shared" si="19"/>
        <v>0</v>
      </c>
      <c r="E67" s="136">
        <f t="shared" si="19"/>
        <v>0</v>
      </c>
      <c r="F67" s="136">
        <f t="shared" si="19"/>
        <v>0</v>
      </c>
      <c r="G67" s="322">
        <f t="shared" si="19"/>
        <v>0</v>
      </c>
      <c r="H67" s="140">
        <f t="shared" si="19"/>
        <v>0</v>
      </c>
      <c r="I67" s="89">
        <f t="shared" si="19"/>
        <v>0</v>
      </c>
      <c r="J67" s="89">
        <f>K67+O67+P67+Q67+R67+S67</f>
        <v>182749</v>
      </c>
      <c r="K67" s="89">
        <f t="shared" si="19"/>
        <v>63092</v>
      </c>
      <c r="L67" s="136">
        <f t="shared" si="19"/>
        <v>59257</v>
      </c>
      <c r="M67" s="136"/>
      <c r="N67" s="140">
        <f t="shared" si="19"/>
        <v>3835</v>
      </c>
      <c r="O67" s="140">
        <f t="shared" si="19"/>
        <v>14907</v>
      </c>
      <c r="P67" s="140">
        <f t="shared" si="19"/>
        <v>1255</v>
      </c>
      <c r="Q67" s="214">
        <f t="shared" si="19"/>
        <v>0</v>
      </c>
      <c r="R67" s="345">
        <f t="shared" si="19"/>
        <v>67028</v>
      </c>
      <c r="S67" s="345">
        <f t="shared" si="19"/>
        <v>36467</v>
      </c>
      <c r="T67" s="345">
        <f t="shared" si="19"/>
        <v>44711</v>
      </c>
      <c r="U67" s="140">
        <f t="shared" si="19"/>
        <v>8244</v>
      </c>
      <c r="V67" s="140">
        <f t="shared" si="19"/>
        <v>0</v>
      </c>
      <c r="W67" s="345">
        <f t="shared" si="19"/>
        <v>190993</v>
      </c>
      <c r="X67" s="345">
        <f t="shared" si="19"/>
        <v>190993</v>
      </c>
      <c r="Y67" s="345">
        <f>Y24+Y38+Y51+Y66</f>
        <v>0</v>
      </c>
      <c r="Z67" s="345">
        <f>Z24+Z38+Z51+Z66</f>
        <v>0</v>
      </c>
      <c r="AA67" s="389">
        <f>AA24+AA38+AA51+AA66</f>
        <v>0</v>
      </c>
      <c r="AB67" s="346">
        <f>AB24+AB38+AB51+AB66</f>
        <v>0</v>
      </c>
      <c r="AC67" s="89">
        <f>AC24+AC38+AC51+AC66</f>
        <v>59257</v>
      </c>
      <c r="AD67" s="466">
        <f aca="true" t="shared" si="20" ref="AD67:AJ67">AD24+AD38+AD51+AD66</f>
        <v>0</v>
      </c>
      <c r="AE67" s="345">
        <f t="shared" si="20"/>
        <v>0</v>
      </c>
      <c r="AF67" s="345">
        <f t="shared" si="20"/>
        <v>0</v>
      </c>
      <c r="AG67" s="345">
        <f t="shared" si="20"/>
        <v>0</v>
      </c>
      <c r="AH67" s="345">
        <f t="shared" si="20"/>
        <v>0</v>
      </c>
      <c r="AI67" s="389">
        <f t="shared" si="20"/>
        <v>0</v>
      </c>
      <c r="AJ67" s="346">
        <f t="shared" si="20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3.5" thickBot="1">
      <c r="A68" s="32"/>
      <c r="B68" s="265" t="s">
        <v>227</v>
      </c>
      <c r="C68" s="266">
        <f aca="true" t="shared" si="21" ref="C68:L68">C15+C67</f>
        <v>1391915</v>
      </c>
      <c r="D68" s="267">
        <f t="shared" si="21"/>
        <v>88109</v>
      </c>
      <c r="E68" s="434">
        <f t="shared" si="21"/>
        <v>0</v>
      </c>
      <c r="F68" s="644">
        <f t="shared" si="21"/>
        <v>0</v>
      </c>
      <c r="G68" s="267">
        <f t="shared" si="21"/>
        <v>1303806</v>
      </c>
      <c r="H68" s="268">
        <f t="shared" si="21"/>
        <v>0</v>
      </c>
      <c r="I68" s="269">
        <f t="shared" si="21"/>
        <v>0</v>
      </c>
      <c r="J68" s="269">
        <f t="shared" si="21"/>
        <v>7414822</v>
      </c>
      <c r="K68" s="266">
        <f t="shared" si="21"/>
        <v>4699419</v>
      </c>
      <c r="L68" s="270">
        <f t="shared" si="21"/>
        <v>4683866</v>
      </c>
      <c r="M68" s="271"/>
      <c r="N68" s="268">
        <f aca="true" t="shared" si="22" ref="N68:AJ68">N15+N67</f>
        <v>15553</v>
      </c>
      <c r="O68" s="268">
        <f t="shared" si="22"/>
        <v>1591259</v>
      </c>
      <c r="P68" s="268">
        <f t="shared" si="22"/>
        <v>93748</v>
      </c>
      <c r="Q68" s="524">
        <f t="shared" si="22"/>
        <v>0</v>
      </c>
      <c r="R68" s="268">
        <f t="shared" si="22"/>
        <v>837009</v>
      </c>
      <c r="S68" s="268">
        <f t="shared" si="22"/>
        <v>193387</v>
      </c>
      <c r="T68" s="348">
        <f t="shared" si="22"/>
        <v>294430</v>
      </c>
      <c r="U68" s="348">
        <f t="shared" si="22"/>
        <v>101043</v>
      </c>
      <c r="V68" s="348">
        <f t="shared" si="22"/>
        <v>0</v>
      </c>
      <c r="W68" s="348">
        <f t="shared" si="22"/>
        <v>7515865</v>
      </c>
      <c r="X68" s="348">
        <f t="shared" si="22"/>
        <v>7515865</v>
      </c>
      <c r="Y68" s="348">
        <f t="shared" si="22"/>
        <v>0</v>
      </c>
      <c r="Z68" s="424">
        <f t="shared" si="22"/>
        <v>0</v>
      </c>
      <c r="AA68" s="390">
        <f t="shared" si="22"/>
        <v>0</v>
      </c>
      <c r="AB68" s="271">
        <f t="shared" si="22"/>
        <v>0</v>
      </c>
      <c r="AC68" s="266">
        <f t="shared" si="22"/>
        <v>4683866</v>
      </c>
      <c r="AD68" s="502">
        <f t="shared" si="22"/>
        <v>0</v>
      </c>
      <c r="AE68" s="348">
        <f t="shared" si="22"/>
        <v>0</v>
      </c>
      <c r="AF68" s="424">
        <f t="shared" si="22"/>
        <v>0</v>
      </c>
      <c r="AG68" s="348">
        <f t="shared" si="22"/>
        <v>0</v>
      </c>
      <c r="AH68" s="348">
        <f t="shared" si="22"/>
        <v>0</v>
      </c>
      <c r="AI68" s="390">
        <f t="shared" si="22"/>
        <v>0</v>
      </c>
      <c r="AJ68" s="349">
        <f t="shared" si="22"/>
        <v>0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529"/>
      <c r="B69" s="838" t="s">
        <v>186</v>
      </c>
      <c r="C69" s="848"/>
      <c r="D69" s="848"/>
      <c r="E69" s="848"/>
      <c r="F69" s="848"/>
      <c r="G69" s="848"/>
      <c r="H69" s="848"/>
      <c r="I69" s="839"/>
      <c r="J69" s="839">
        <f aca="true" t="shared" si="23" ref="J69:T69">J68+J18+J41</f>
        <v>7220987</v>
      </c>
      <c r="K69" s="839">
        <f t="shared" si="23"/>
        <v>4585393</v>
      </c>
      <c r="L69" s="839">
        <f t="shared" si="23"/>
        <v>4571077</v>
      </c>
      <c r="M69" s="839">
        <f t="shared" si="23"/>
        <v>0</v>
      </c>
      <c r="N69" s="839">
        <f t="shared" si="23"/>
        <v>14316</v>
      </c>
      <c r="O69" s="839">
        <f t="shared" si="23"/>
        <v>1552670</v>
      </c>
      <c r="P69" s="839">
        <f t="shared" si="23"/>
        <v>91477</v>
      </c>
      <c r="Q69" s="839">
        <f t="shared" si="23"/>
        <v>0</v>
      </c>
      <c r="R69" s="839">
        <f t="shared" si="23"/>
        <v>798060</v>
      </c>
      <c r="S69" s="839">
        <f t="shared" si="23"/>
        <v>193387</v>
      </c>
      <c r="T69" s="839">
        <f t="shared" si="23"/>
        <v>289130</v>
      </c>
      <c r="U69" s="839">
        <f>U68+U18+U41</f>
        <v>95743</v>
      </c>
      <c r="V69" s="839">
        <f>V68+V18+V41</f>
        <v>0</v>
      </c>
      <c r="W69" s="839">
        <f>W68+W18+W41</f>
        <v>7316730</v>
      </c>
      <c r="X69" s="839">
        <f>X68+X18+X41</f>
        <v>7316730</v>
      </c>
      <c r="Y69" s="839">
        <f>Y68+Y18</f>
        <v>0</v>
      </c>
      <c r="Z69" s="839">
        <f>Z68+Z18</f>
        <v>0</v>
      </c>
      <c r="AA69" s="839">
        <f>AA68+AA18</f>
        <v>0</v>
      </c>
      <c r="AB69" s="842">
        <f>AB68+AB18</f>
        <v>0</v>
      </c>
      <c r="AC69" s="842">
        <f>AC68+AC18+AC41</f>
        <v>4571077</v>
      </c>
      <c r="AD69" s="532"/>
      <c r="AE69" s="532"/>
      <c r="AF69" s="532"/>
      <c r="AG69" s="532"/>
      <c r="AH69" s="532"/>
      <c r="AI69" s="532"/>
      <c r="AJ69" s="532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533"/>
      <c r="B70" s="843"/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4"/>
      <c r="Q70" s="844"/>
      <c r="R70" s="844"/>
      <c r="S70" s="844"/>
      <c r="T70" s="844"/>
      <c r="U70" s="844"/>
      <c r="V70" s="844"/>
      <c r="W70" s="844"/>
      <c r="X70" s="844"/>
      <c r="Y70" s="844"/>
      <c r="Z70" s="844"/>
      <c r="AA70" s="845"/>
      <c r="AB70" s="845"/>
      <c r="AC70" s="845"/>
      <c r="AD70" s="534"/>
      <c r="AE70" s="534"/>
      <c r="AF70" s="534"/>
      <c r="AG70" s="534"/>
      <c r="AH70" s="534"/>
      <c r="AI70" s="534"/>
      <c r="AJ70" s="53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51">
        <v>1</v>
      </c>
      <c r="B71" s="52" t="s">
        <v>19</v>
      </c>
      <c r="C71" s="70">
        <f>D71+H71</f>
        <v>0</v>
      </c>
      <c r="D71" s="71">
        <v>0</v>
      </c>
      <c r="E71" s="71">
        <v>0</v>
      </c>
      <c r="F71" s="72">
        <v>0</v>
      </c>
      <c r="G71" s="95"/>
      <c r="H71" s="71">
        <v>0</v>
      </c>
      <c r="I71" s="651">
        <v>0</v>
      </c>
      <c r="J71" s="651">
        <f>K71+O71+P71+R71+S71</f>
        <v>58761</v>
      </c>
      <c r="K71" s="71">
        <f>L71+N71</f>
        <v>0</v>
      </c>
      <c r="L71" s="71">
        <v>0</v>
      </c>
      <c r="M71" s="71"/>
      <c r="N71" s="71">
        <v>0</v>
      </c>
      <c r="O71" s="71">
        <v>0</v>
      </c>
      <c r="P71" s="71">
        <v>0</v>
      </c>
      <c r="Q71" s="71" t="e">
        <f>#REF!</f>
        <v>#REF!</v>
      </c>
      <c r="R71" s="71">
        <f>R30+R52+R55+R62</f>
        <v>27444</v>
      </c>
      <c r="S71" s="71">
        <f>S26+S39+S45+S56+S59+S63</f>
        <v>31317</v>
      </c>
      <c r="T71" s="95">
        <f>S71+U71</f>
        <v>37428</v>
      </c>
      <c r="U71" s="150">
        <f>U26+U27+U39+U44+U56+U59</f>
        <v>6111</v>
      </c>
      <c r="V71" s="72">
        <v>0</v>
      </c>
      <c r="W71" s="323">
        <f>J71+U71+V71</f>
        <v>64872</v>
      </c>
      <c r="X71" s="95">
        <f>X27+X30+X44+X45+X52+X55+X59+X62+X63</f>
        <v>64872</v>
      </c>
      <c r="Y71" s="150">
        <f>Y25</f>
        <v>0</v>
      </c>
      <c r="Z71" s="150">
        <v>0</v>
      </c>
      <c r="AA71" s="394">
        <v>0</v>
      </c>
      <c r="AB71" s="357">
        <v>0</v>
      </c>
      <c r="AC71" s="409">
        <v>0</v>
      </c>
      <c r="AD71" s="287">
        <v>0</v>
      </c>
      <c r="AE71" s="287">
        <v>0</v>
      </c>
      <c r="AF71" s="287">
        <v>0</v>
      </c>
      <c r="AG71" s="287">
        <v>0</v>
      </c>
      <c r="AH71" s="287">
        <v>0</v>
      </c>
      <c r="AI71" s="394"/>
      <c r="AJ71" s="357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9">
        <v>3</v>
      </c>
      <c r="B72" s="46" t="s">
        <v>19</v>
      </c>
      <c r="C72" s="65">
        <f>D72+H72</f>
        <v>0</v>
      </c>
      <c r="D72" s="68">
        <v>0</v>
      </c>
      <c r="E72" s="68">
        <v>0</v>
      </c>
      <c r="F72" s="74">
        <v>0</v>
      </c>
      <c r="G72" s="66"/>
      <c r="H72" s="68">
        <v>0</v>
      </c>
      <c r="I72" s="65">
        <v>0</v>
      </c>
      <c r="J72" s="65">
        <f>K72+O72+P72+R72+S72</f>
        <v>123988</v>
      </c>
      <c r="K72" s="68">
        <f>L72+N72</f>
        <v>63092</v>
      </c>
      <c r="L72" s="68">
        <f>L19+L28+L31+L53+L57+L64+L65</f>
        <v>59257</v>
      </c>
      <c r="M72" s="68"/>
      <c r="N72" s="68">
        <f>N19+N28+N31+N53+N57+N65</f>
        <v>3835</v>
      </c>
      <c r="O72" s="68">
        <f>O28+O31+O53+O57+O64+O65</f>
        <v>14907</v>
      </c>
      <c r="P72" s="68">
        <f>P28+P31+P53+P57+P64+P65</f>
        <v>1255</v>
      </c>
      <c r="Q72" s="68">
        <f>Q19+Q20</f>
        <v>0</v>
      </c>
      <c r="R72" s="68">
        <f>R28+R29+R53+R54+R58+R65</f>
        <v>39584</v>
      </c>
      <c r="S72" s="68">
        <f>S19+S20+S42+S43</f>
        <v>5150</v>
      </c>
      <c r="T72" s="66">
        <f>S72+U72</f>
        <v>7283</v>
      </c>
      <c r="U72" s="67">
        <f>U57+U60+U61</f>
        <v>2133</v>
      </c>
      <c r="V72" s="74">
        <f>V42</f>
        <v>0</v>
      </c>
      <c r="W72" s="195">
        <f>J72+U72+V72</f>
        <v>126121</v>
      </c>
      <c r="X72" s="66">
        <f>X28+X29+X31+X42+X43+X54+X57+X58+X60+X61+X64</f>
        <v>126121</v>
      </c>
      <c r="Y72" s="67" t="e">
        <f>#REF!</f>
        <v>#REF!</v>
      </c>
      <c r="Z72" s="67">
        <v>0</v>
      </c>
      <c r="AA72" s="212">
        <f>AA59</f>
        <v>0</v>
      </c>
      <c r="AB72" s="172">
        <f>AB19</f>
        <v>0</v>
      </c>
      <c r="AC72" s="66">
        <f>AC19+AC28+AC31+AC53+AC57+AC64+AC65</f>
        <v>59257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212"/>
      <c r="AJ72" s="172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50">
        <v>5</v>
      </c>
      <c r="B73" s="489" t="s">
        <v>19</v>
      </c>
      <c r="C73" s="490">
        <f>D73+H73</f>
        <v>0</v>
      </c>
      <c r="D73" s="491">
        <v>0</v>
      </c>
      <c r="E73" s="491">
        <v>0</v>
      </c>
      <c r="F73" s="491">
        <v>0</v>
      </c>
      <c r="G73" s="76"/>
      <c r="H73" s="76">
        <v>0</v>
      </c>
      <c r="I73" s="77">
        <v>0</v>
      </c>
      <c r="J73" s="75">
        <f>K73+O73+P73+Q73+R73+S73</f>
        <v>0</v>
      </c>
      <c r="K73" s="76">
        <v>0</v>
      </c>
      <c r="L73" s="76">
        <v>0</v>
      </c>
      <c r="M73" s="76"/>
      <c r="N73" s="76">
        <v>0</v>
      </c>
      <c r="O73" s="76">
        <v>0</v>
      </c>
      <c r="P73" s="76">
        <v>0</v>
      </c>
      <c r="Q73" s="76">
        <v>0</v>
      </c>
      <c r="R73" s="145">
        <v>0</v>
      </c>
      <c r="S73" s="145">
        <v>0</v>
      </c>
      <c r="T73" s="96">
        <v>0</v>
      </c>
      <c r="U73" s="151">
        <v>0</v>
      </c>
      <c r="V73" s="77">
        <v>0</v>
      </c>
      <c r="W73" s="324">
        <f>J73+U73+V73</f>
        <v>0</v>
      </c>
      <c r="X73" s="96">
        <v>0</v>
      </c>
      <c r="Y73" s="151">
        <v>0</v>
      </c>
      <c r="Z73" s="151">
        <v>0</v>
      </c>
      <c r="AA73" s="395">
        <v>0</v>
      </c>
      <c r="AB73" s="359">
        <v>0</v>
      </c>
      <c r="AC73" s="410">
        <v>0</v>
      </c>
      <c r="AD73" s="358">
        <v>0</v>
      </c>
      <c r="AE73" s="358">
        <v>0</v>
      </c>
      <c r="AF73" s="358">
        <v>0</v>
      </c>
      <c r="AG73" s="358">
        <v>0</v>
      </c>
      <c r="AH73" s="358">
        <v>0</v>
      </c>
      <c r="AI73" s="395"/>
      <c r="AJ73" s="359"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47" t="s">
        <v>19</v>
      </c>
      <c r="B74" s="47"/>
      <c r="C74" s="75">
        <f>SUM(C71:C73)</f>
        <v>0</v>
      </c>
      <c r="D74" s="76">
        <f>SUM(D71:D73)</f>
        <v>0</v>
      </c>
      <c r="E74" s="76">
        <f>SUM(E71:E73)</f>
        <v>0</v>
      </c>
      <c r="F74" s="76">
        <f>SUM(F71:F73)</f>
        <v>0</v>
      </c>
      <c r="G74" s="76"/>
      <c r="H74" s="76">
        <f aca="true" t="shared" si="24" ref="H74:Q74">SUM(H71:H73)</f>
        <v>0</v>
      </c>
      <c r="I74" s="77">
        <f t="shared" si="24"/>
        <v>0</v>
      </c>
      <c r="J74" s="147">
        <f>K74+O74+P74+R74+S74</f>
        <v>182749</v>
      </c>
      <c r="K74" s="76">
        <f t="shared" si="24"/>
        <v>63092</v>
      </c>
      <c r="L74" s="76">
        <f t="shared" si="24"/>
        <v>59257</v>
      </c>
      <c r="M74" s="76">
        <f t="shared" si="24"/>
        <v>0</v>
      </c>
      <c r="N74" s="76">
        <f t="shared" si="24"/>
        <v>3835</v>
      </c>
      <c r="O74" s="76">
        <f t="shared" si="24"/>
        <v>14907</v>
      </c>
      <c r="P74" s="76">
        <f t="shared" si="24"/>
        <v>1255</v>
      </c>
      <c r="Q74" s="76" t="e">
        <f t="shared" si="24"/>
        <v>#REF!</v>
      </c>
      <c r="R74" s="144">
        <f aca="true" t="shared" si="25" ref="R74:AJ74">SUM(R71:R73)</f>
        <v>67028</v>
      </c>
      <c r="S74" s="144">
        <f t="shared" si="25"/>
        <v>36467</v>
      </c>
      <c r="T74" s="76">
        <f t="shared" si="25"/>
        <v>44711</v>
      </c>
      <c r="U74" s="76">
        <f t="shared" si="25"/>
        <v>8244</v>
      </c>
      <c r="V74" s="144">
        <f t="shared" si="25"/>
        <v>0</v>
      </c>
      <c r="W74" s="77">
        <f t="shared" si="25"/>
        <v>190993</v>
      </c>
      <c r="X74" s="360">
        <f t="shared" si="25"/>
        <v>190993</v>
      </c>
      <c r="Y74" s="361" t="e">
        <f>SUM(Y71:Y73)</f>
        <v>#REF!</v>
      </c>
      <c r="Z74" s="361">
        <f>SUM(Z71:Z73)</f>
        <v>0</v>
      </c>
      <c r="AA74" s="396">
        <f t="shared" si="25"/>
        <v>0</v>
      </c>
      <c r="AB74" s="144">
        <f t="shared" si="25"/>
        <v>0</v>
      </c>
      <c r="AC74" s="360">
        <f t="shared" si="25"/>
        <v>59257</v>
      </c>
      <c r="AD74" s="361">
        <f t="shared" si="25"/>
        <v>0</v>
      </c>
      <c r="AE74" s="361">
        <f t="shared" si="25"/>
        <v>0</v>
      </c>
      <c r="AF74" s="361">
        <f t="shared" si="25"/>
        <v>0</v>
      </c>
      <c r="AG74" s="361">
        <f t="shared" si="25"/>
        <v>0</v>
      </c>
      <c r="AH74" s="361">
        <f t="shared" si="25"/>
        <v>0</v>
      </c>
      <c r="AI74" s="396"/>
      <c r="AJ74" s="144">
        <f t="shared" si="25"/>
        <v>0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57"/>
      <c r="B75" s="5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41</v>
      </c>
      <c r="C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42</v>
      </c>
      <c r="B77" t="s">
        <v>43</v>
      </c>
      <c r="C77" s="2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44</v>
      </c>
      <c r="B78" t="s">
        <v>45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t="s">
        <v>46</v>
      </c>
      <c r="B79" t="s">
        <v>47</v>
      </c>
      <c r="C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</sheetData>
  <mergeCells count="1">
    <mergeCell ref="G11:I11"/>
  </mergeCells>
  <printOptions horizontalCentered="1"/>
  <pageMargins left="0.1968503937007874" right="0" top="0.4724409448818898" bottom="0" header="0.31496062992125984" footer="0.5118110236220472"/>
  <pageSetup horizontalDpi="600" verticalDpi="600" orientation="landscape" paperSize="9" scale="58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W115"/>
  <sheetViews>
    <sheetView workbookViewId="0" topLeftCell="A1">
      <pane xSplit="2" topLeftCell="C1" activePane="topRight" state="frozen"/>
      <selection pane="topLeft" activeCell="A1" sqref="A1"/>
      <selection pane="topRight" activeCell="E31" sqref="E31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2.75390625" style="0" customWidth="1"/>
    <col min="27" max="27" width="9.00390625" style="0" hidden="1" customWidth="1"/>
    <col min="28" max="28" width="9.75390625" style="0" customWidth="1"/>
    <col min="29" max="29" width="10.75390625" style="0" customWidth="1"/>
    <col min="30" max="31" width="10.125" style="0" hidden="1" customWidth="1"/>
    <col min="32" max="32" width="7.875" style="0" hidden="1" customWidth="1"/>
    <col min="33" max="33" width="7.375" style="0" hidden="1" customWidth="1"/>
    <col min="34" max="34" width="8.375" style="0" customWidth="1"/>
    <col min="35" max="35" width="7.875" style="0" hidden="1" customWidth="1"/>
  </cols>
  <sheetData>
    <row r="4" ht="18">
      <c r="AA4" s="113"/>
    </row>
    <row r="5" ht="12.75">
      <c r="L5" t="s">
        <v>52</v>
      </c>
    </row>
    <row r="6" spans="2:19" s="25" customFormat="1" ht="18">
      <c r="B6" s="127"/>
      <c r="D6" s="127"/>
      <c r="E6" s="127"/>
      <c r="F6" s="127"/>
      <c r="G6" s="127"/>
      <c r="H6" s="272"/>
      <c r="I6"/>
      <c r="J6" s="127" t="s">
        <v>233</v>
      </c>
      <c r="R6" s="128"/>
      <c r="S6" s="128"/>
    </row>
    <row r="7" spans="2:22" ht="18">
      <c r="B7" s="7"/>
      <c r="C7" s="6"/>
      <c r="D7" s="127"/>
      <c r="E7" s="127"/>
      <c r="F7" s="127"/>
      <c r="G7" s="127"/>
      <c r="H7" s="25"/>
      <c r="J7" s="127"/>
      <c r="K7" s="25"/>
      <c r="L7" s="128"/>
      <c r="M7" s="128"/>
      <c r="N7" s="128"/>
      <c r="O7" s="128"/>
      <c r="P7" s="128"/>
      <c r="Q7" s="128"/>
      <c r="R7" s="128"/>
      <c r="S7" s="128"/>
      <c r="T7" s="128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5" ht="12.75">
      <c r="A9" s="44"/>
      <c r="B9" s="26" t="s">
        <v>0</v>
      </c>
      <c r="C9" s="35" t="s">
        <v>1</v>
      </c>
      <c r="D9" s="14" t="s">
        <v>2</v>
      </c>
      <c r="E9" s="14"/>
      <c r="F9" s="14"/>
      <c r="G9" s="14"/>
      <c r="H9" s="14"/>
      <c r="I9" s="552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91" t="s">
        <v>66</v>
      </c>
      <c r="U9" s="192"/>
      <c r="V9" s="215"/>
      <c r="W9" s="234" t="s">
        <v>4</v>
      </c>
      <c r="X9" s="374"/>
      <c r="Z9" s="784" t="s">
        <v>174</v>
      </c>
      <c r="AA9" s="11"/>
      <c r="AB9" s="1126" t="s">
        <v>167</v>
      </c>
      <c r="AC9" s="1127"/>
      <c r="AD9" s="1127"/>
      <c r="AE9" s="1127"/>
      <c r="AF9" s="1127"/>
      <c r="AG9" s="1127"/>
      <c r="AH9" s="1128"/>
      <c r="AI9" s="277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2.75">
      <c r="A10" s="5"/>
      <c r="B10" s="12"/>
      <c r="C10" s="36"/>
      <c r="D10" s="547" t="s">
        <v>133</v>
      </c>
      <c r="E10" s="548"/>
      <c r="F10" s="549"/>
      <c r="G10" s="549"/>
      <c r="H10" s="553"/>
      <c r="I10" s="554"/>
      <c r="J10" s="566"/>
      <c r="K10" s="613"/>
      <c r="L10" s="538"/>
      <c r="M10" s="538"/>
      <c r="N10" s="538"/>
      <c r="O10" s="539"/>
      <c r="P10" s="539"/>
      <c r="Q10" s="539"/>
      <c r="R10" s="539"/>
      <c r="S10" s="540"/>
      <c r="T10" s="541"/>
      <c r="U10" s="542"/>
      <c r="V10" s="543"/>
      <c r="W10" s="306"/>
      <c r="X10" s="541"/>
      <c r="Y10" s="544"/>
      <c r="Z10" s="785" t="s">
        <v>173</v>
      </c>
      <c r="AA10" s="544"/>
      <c r="AB10" s="568"/>
      <c r="AC10" s="603"/>
      <c r="AD10" s="1009"/>
      <c r="AE10" s="1009"/>
      <c r="AF10" s="1010"/>
      <c r="AG10" s="1010"/>
      <c r="AH10" s="1008"/>
      <c r="AI10" s="546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5" t="s">
        <v>6</v>
      </c>
      <c r="B11" s="5"/>
      <c r="C11" s="15" t="s">
        <v>19</v>
      </c>
      <c r="D11" s="550" t="s">
        <v>134</v>
      </c>
      <c r="E11" s="551"/>
      <c r="F11" s="631"/>
      <c r="G11" s="1123" t="s">
        <v>157</v>
      </c>
      <c r="H11" s="1124"/>
      <c r="I11" s="1125"/>
      <c r="J11" s="648"/>
      <c r="K11" s="626" t="s">
        <v>154</v>
      </c>
      <c r="L11" s="610" t="s">
        <v>133</v>
      </c>
      <c r="M11" s="608"/>
      <c r="N11" s="609"/>
      <c r="O11" s="18" t="s">
        <v>9</v>
      </c>
      <c r="P11" s="209" t="s">
        <v>10</v>
      </c>
      <c r="Q11" s="565" t="s">
        <v>11</v>
      </c>
      <c r="R11" s="166" t="s">
        <v>11</v>
      </c>
      <c r="S11" s="167" t="s">
        <v>12</v>
      </c>
      <c r="T11" s="193" t="s">
        <v>65</v>
      </c>
      <c r="U11" s="194"/>
      <c r="V11" s="12" t="s">
        <v>64</v>
      </c>
      <c r="W11" s="306"/>
      <c r="X11" s="293" t="s">
        <v>103</v>
      </c>
      <c r="Y11" s="452" t="s">
        <v>4</v>
      </c>
      <c r="Z11" s="293" t="s">
        <v>103</v>
      </c>
      <c r="AA11" s="452" t="s">
        <v>91</v>
      </c>
      <c r="AB11" s="293" t="s">
        <v>111</v>
      </c>
      <c r="AC11" s="295" t="s">
        <v>142</v>
      </c>
      <c r="AD11" s="499" t="s">
        <v>142</v>
      </c>
      <c r="AE11" s="295"/>
      <c r="AF11" s="413"/>
      <c r="AG11" s="990" t="s">
        <v>20</v>
      </c>
      <c r="AH11" s="296" t="s">
        <v>129</v>
      </c>
      <c r="AI11" s="986" t="s">
        <v>92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5" t="s">
        <v>13</v>
      </c>
      <c r="B12" s="5"/>
      <c r="C12" s="29"/>
      <c r="D12" s="20" t="s">
        <v>14</v>
      </c>
      <c r="E12" s="557" t="s">
        <v>136</v>
      </c>
      <c r="F12" s="637" t="s">
        <v>92</v>
      </c>
      <c r="G12" s="652" t="s">
        <v>159</v>
      </c>
      <c r="H12" s="632" t="s">
        <v>135</v>
      </c>
      <c r="I12" s="633"/>
      <c r="J12" s="1"/>
      <c r="K12" s="626" t="s">
        <v>155</v>
      </c>
      <c r="L12" s="611"/>
      <c r="M12" s="612"/>
      <c r="N12" s="18"/>
      <c r="O12" s="31"/>
      <c r="P12" s="1" t="s">
        <v>17</v>
      </c>
      <c r="Q12" s="1" t="s">
        <v>18</v>
      </c>
      <c r="R12" s="39" t="s">
        <v>50</v>
      </c>
      <c r="S12" s="168" t="s">
        <v>48</v>
      </c>
      <c r="T12" s="93" t="s">
        <v>19</v>
      </c>
      <c r="U12" s="134" t="s">
        <v>5</v>
      </c>
      <c r="V12" s="15" t="s">
        <v>27</v>
      </c>
      <c r="W12" s="306"/>
      <c r="X12" s="297" t="s">
        <v>104</v>
      </c>
      <c r="Y12" s="453" t="s">
        <v>94</v>
      </c>
      <c r="Z12" s="297" t="s">
        <v>104</v>
      </c>
      <c r="AA12" s="453" t="s">
        <v>93</v>
      </c>
      <c r="AB12" s="297" t="s">
        <v>114</v>
      </c>
      <c r="AC12" s="299" t="s">
        <v>143</v>
      </c>
      <c r="AD12" s="412" t="s">
        <v>146</v>
      </c>
      <c r="AE12" s="299"/>
      <c r="AF12" s="414"/>
      <c r="AG12" s="991" t="s">
        <v>88</v>
      </c>
      <c r="AH12" s="300" t="s">
        <v>149</v>
      </c>
      <c r="AI12" s="987" t="s">
        <v>95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5" t="s">
        <v>21</v>
      </c>
      <c r="B13" s="12" t="s">
        <v>22</v>
      </c>
      <c r="C13" s="555"/>
      <c r="D13" s="20" t="s">
        <v>23</v>
      </c>
      <c r="E13" s="558" t="s">
        <v>137</v>
      </c>
      <c r="F13" s="638" t="s">
        <v>95</v>
      </c>
      <c r="G13" s="653" t="s">
        <v>136</v>
      </c>
      <c r="H13" s="634" t="s">
        <v>19</v>
      </c>
      <c r="I13" s="635" t="s">
        <v>7</v>
      </c>
      <c r="J13" s="649" t="s">
        <v>19</v>
      </c>
      <c r="K13" s="627" t="s">
        <v>19</v>
      </c>
      <c r="L13" s="16" t="s">
        <v>24</v>
      </c>
      <c r="M13" s="30"/>
      <c r="N13" s="30" t="s">
        <v>25</v>
      </c>
      <c r="O13" s="39"/>
      <c r="P13" s="23"/>
      <c r="Q13" s="1" t="s">
        <v>26</v>
      </c>
      <c r="R13" s="39" t="s">
        <v>49</v>
      </c>
      <c r="S13" s="168" t="s">
        <v>27</v>
      </c>
      <c r="T13" s="40" t="s">
        <v>28</v>
      </c>
      <c r="U13" s="134" t="s">
        <v>23</v>
      </c>
      <c r="V13" s="15" t="s">
        <v>49</v>
      </c>
      <c r="W13" s="306" t="s">
        <v>19</v>
      </c>
      <c r="X13" s="297" t="s">
        <v>105</v>
      </c>
      <c r="Y13" s="453" t="s">
        <v>97</v>
      </c>
      <c r="Z13" s="297" t="s">
        <v>108</v>
      </c>
      <c r="AA13" s="453" t="s">
        <v>96</v>
      </c>
      <c r="AB13" s="297" t="s">
        <v>141</v>
      </c>
      <c r="AC13" s="299" t="s">
        <v>144</v>
      </c>
      <c r="AD13" s="412" t="s">
        <v>147</v>
      </c>
      <c r="AE13" s="299"/>
      <c r="AF13" s="414"/>
      <c r="AG13" s="991" t="s">
        <v>34</v>
      </c>
      <c r="AH13" s="300" t="s">
        <v>150</v>
      </c>
      <c r="AI13" s="987" t="s">
        <v>98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9" ht="13.5" thickBot="1">
      <c r="A14" s="45" t="s">
        <v>30</v>
      </c>
      <c r="B14" s="27" t="s">
        <v>31</v>
      </c>
      <c r="C14" s="41"/>
      <c r="D14" s="21" t="s">
        <v>32</v>
      </c>
      <c r="E14" s="559"/>
      <c r="F14" s="638" t="s">
        <v>128</v>
      </c>
      <c r="G14" s="678" t="s">
        <v>158</v>
      </c>
      <c r="H14" s="636"/>
      <c r="I14" s="654" t="s">
        <v>33</v>
      </c>
      <c r="J14" s="650"/>
      <c r="K14" s="208"/>
      <c r="L14" s="19"/>
      <c r="M14" s="19"/>
      <c r="N14" s="210"/>
      <c r="O14" s="22"/>
      <c r="P14" s="19"/>
      <c r="Q14" s="3"/>
      <c r="R14" s="169" t="s">
        <v>28</v>
      </c>
      <c r="S14" s="170"/>
      <c r="T14" s="42"/>
      <c r="U14" s="135" t="s">
        <v>27</v>
      </c>
      <c r="V14" s="41" t="s">
        <v>28</v>
      </c>
      <c r="W14" s="307"/>
      <c r="X14" s="421" t="s">
        <v>106</v>
      </c>
      <c r="Y14" s="454" t="s">
        <v>100</v>
      </c>
      <c r="Z14" s="421" t="s">
        <v>106</v>
      </c>
      <c r="AA14" s="454" t="s">
        <v>99</v>
      </c>
      <c r="AB14" s="421" t="s">
        <v>140</v>
      </c>
      <c r="AC14" s="302" t="s">
        <v>145</v>
      </c>
      <c r="AD14" s="672" t="s">
        <v>148</v>
      </c>
      <c r="AE14" s="302"/>
      <c r="AF14" s="503"/>
      <c r="AG14" s="992"/>
      <c r="AH14" s="606" t="s">
        <v>151</v>
      </c>
      <c r="AI14" s="518" t="s">
        <v>101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2.75">
      <c r="A15" s="5"/>
      <c r="B15" s="115" t="s">
        <v>187</v>
      </c>
      <c r="C15" s="696">
        <f>D15+E15+F15+G15+H15</f>
        <v>1411389</v>
      </c>
      <c r="D15" s="697">
        <v>838057</v>
      </c>
      <c r="E15" s="698">
        <v>0</v>
      </c>
      <c r="F15" s="699">
        <v>0</v>
      </c>
      <c r="G15" s="700">
        <v>2400</v>
      </c>
      <c r="H15" s="701">
        <v>570932</v>
      </c>
      <c r="I15" s="702">
        <v>510437</v>
      </c>
      <c r="J15" s="702">
        <f>K15+O15+P15+Q15+R15+S15</f>
        <v>4309162</v>
      </c>
      <c r="K15" s="697">
        <f>L15+N15</f>
        <v>2360376</v>
      </c>
      <c r="L15" s="698">
        <v>2351756</v>
      </c>
      <c r="M15" s="701"/>
      <c r="N15" s="701">
        <v>8620</v>
      </c>
      <c r="O15" s="701">
        <v>802528</v>
      </c>
      <c r="P15" s="698">
        <v>47035</v>
      </c>
      <c r="Q15" s="701">
        <v>514710</v>
      </c>
      <c r="R15" s="702">
        <v>427805</v>
      </c>
      <c r="S15" s="702">
        <v>156708</v>
      </c>
      <c r="T15" s="697">
        <f>S15+U15</f>
        <v>382478</v>
      </c>
      <c r="U15" s="440">
        <v>225770</v>
      </c>
      <c r="V15" s="703">
        <v>0</v>
      </c>
      <c r="W15" s="704">
        <f>U15+J15</f>
        <v>4534932</v>
      </c>
      <c r="X15" s="697">
        <v>0</v>
      </c>
      <c r="Y15" s="705">
        <v>0</v>
      </c>
      <c r="Z15" s="706">
        <v>4534932</v>
      </c>
      <c r="AA15" s="707">
        <v>0</v>
      </c>
      <c r="AB15" s="706">
        <v>468908</v>
      </c>
      <c r="AC15" s="1006">
        <v>1882848</v>
      </c>
      <c r="AD15" s="455">
        <v>0</v>
      </c>
      <c r="AE15" s="305"/>
      <c r="AF15" s="326"/>
      <c r="AG15" s="993">
        <v>0</v>
      </c>
      <c r="AH15" s="326">
        <v>0</v>
      </c>
      <c r="AI15" s="114">
        <v>0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57" customFormat="1" ht="12.75" hidden="1">
      <c r="A16" s="47"/>
      <c r="B16" s="415" t="s">
        <v>124</v>
      </c>
      <c r="C16" s="126"/>
      <c r="D16" s="125"/>
      <c r="E16" s="122"/>
      <c r="F16" s="640"/>
      <c r="G16" s="125"/>
      <c r="H16" s="122"/>
      <c r="I16" s="124"/>
      <c r="J16" s="124">
        <f>K16+O16+P16+Q16+R16+S16</f>
        <v>0</v>
      </c>
      <c r="K16" s="125"/>
      <c r="L16" s="123"/>
      <c r="M16" s="122"/>
      <c r="N16" s="122"/>
      <c r="O16" s="122"/>
      <c r="P16" s="123"/>
      <c r="Q16" s="122"/>
      <c r="R16" s="124"/>
      <c r="S16" s="124"/>
      <c r="T16" s="122">
        <f>S16+U16</f>
        <v>0</v>
      </c>
      <c r="U16" s="139"/>
      <c r="V16" s="366"/>
      <c r="W16" s="314">
        <f>U16+J16</f>
        <v>0</v>
      </c>
      <c r="X16" s="419"/>
      <c r="Y16" s="376"/>
      <c r="Z16" s="80"/>
      <c r="AA16" s="376"/>
      <c r="AB16" s="80"/>
      <c r="AC16" s="81"/>
      <c r="AD16" s="83"/>
      <c r="AE16" s="81"/>
      <c r="AF16" s="304"/>
      <c r="AG16" s="994"/>
      <c r="AH16" s="304"/>
      <c r="AI16" s="82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</row>
    <row r="17" spans="1:49" ht="12.75">
      <c r="A17" s="5"/>
      <c r="B17" s="133" t="s">
        <v>35</v>
      </c>
      <c r="C17" s="222"/>
      <c r="D17" s="223"/>
      <c r="E17" s="226"/>
      <c r="F17" s="227"/>
      <c r="G17" s="223"/>
      <c r="H17" s="224"/>
      <c r="I17" s="225"/>
      <c r="J17" s="275"/>
      <c r="K17" s="274">
        <f>L17+N17</f>
        <v>0</v>
      </c>
      <c r="L17" s="224"/>
      <c r="M17" s="226"/>
      <c r="N17" s="226"/>
      <c r="O17" s="226"/>
      <c r="P17" s="224"/>
      <c r="Q17" s="226"/>
      <c r="R17" s="10"/>
      <c r="S17" s="225"/>
      <c r="T17" s="367">
        <f>S17+U17</f>
        <v>0</v>
      </c>
      <c r="U17" s="227"/>
      <c r="V17" s="228"/>
      <c r="W17" s="315">
        <f>U17+J17</f>
        <v>0</v>
      </c>
      <c r="X17" s="441"/>
      <c r="Y17" s="536"/>
      <c r="Z17" s="587"/>
      <c r="AA17" s="475"/>
      <c r="AB17" s="441"/>
      <c r="AC17" s="305"/>
      <c r="AD17" s="455"/>
      <c r="AE17" s="305"/>
      <c r="AF17" s="326"/>
      <c r="AG17" s="993"/>
      <c r="AH17" s="326"/>
      <c r="AI17" s="11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3.5" thickBot="1">
      <c r="A18" s="820">
        <v>1</v>
      </c>
      <c r="B18" s="821" t="s">
        <v>185</v>
      </c>
      <c r="C18" s="109">
        <f>D18+H18</f>
        <v>0</v>
      </c>
      <c r="D18" s="243"/>
      <c r="E18" s="429"/>
      <c r="F18" s="238"/>
      <c r="G18" s="243"/>
      <c r="H18" s="247"/>
      <c r="I18" s="246"/>
      <c r="J18" s="877">
        <f>K18+O18+P18+Q18+R18+S18</f>
        <v>-61324</v>
      </c>
      <c r="K18" s="876">
        <f>L18+N18</f>
        <v>-23604</v>
      </c>
      <c r="L18" s="865">
        <v>-23518</v>
      </c>
      <c r="M18" s="864"/>
      <c r="N18" s="864">
        <v>-86</v>
      </c>
      <c r="O18" s="864">
        <v>-8025</v>
      </c>
      <c r="P18" s="865">
        <v>-470</v>
      </c>
      <c r="Q18" s="864"/>
      <c r="R18" s="878">
        <v>-21390</v>
      </c>
      <c r="S18" s="877">
        <v>-7835</v>
      </c>
      <c r="T18" s="871">
        <f>S18+U18</f>
        <v>-19124</v>
      </c>
      <c r="U18" s="879">
        <v>-11289</v>
      </c>
      <c r="V18" s="880"/>
      <c r="W18" s="881">
        <f>J18+U18</f>
        <v>-72613</v>
      </c>
      <c r="X18" s="882"/>
      <c r="Y18" s="883"/>
      <c r="Z18" s="876">
        <v>-72613</v>
      </c>
      <c r="AA18" s="874"/>
      <c r="AB18" s="875">
        <v>-4689</v>
      </c>
      <c r="AC18" s="1007">
        <v>-18829</v>
      </c>
      <c r="AD18" s="429"/>
      <c r="AE18" s="247"/>
      <c r="AF18" s="504"/>
      <c r="AG18" s="995"/>
      <c r="AH18" s="504"/>
      <c r="AI18" s="246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3.5" hidden="1" thickBot="1">
      <c r="A19" s="196"/>
      <c r="B19" s="164"/>
      <c r="C19" s="246"/>
      <c r="D19" s="243"/>
      <c r="E19" s="429"/>
      <c r="F19" s="238"/>
      <c r="G19" s="243"/>
      <c r="H19" s="247"/>
      <c r="I19" s="246"/>
      <c r="J19" s="248"/>
      <c r="K19" s="311"/>
      <c r="L19" s="311"/>
      <c r="M19" s="371"/>
      <c r="N19" s="482"/>
      <c r="O19" s="371"/>
      <c r="P19" s="371"/>
      <c r="Q19" s="371"/>
      <c r="R19" s="369"/>
      <c r="S19" s="290"/>
      <c r="T19" s="237"/>
      <c r="U19" s="373"/>
      <c r="V19" s="244"/>
      <c r="W19" s="308"/>
      <c r="X19" s="443"/>
      <c r="Y19" s="582"/>
      <c r="Z19" s="446"/>
      <c r="AA19" s="477"/>
      <c r="AB19" s="311"/>
      <c r="AC19" s="249"/>
      <c r="AD19" s="431"/>
      <c r="AE19" s="249"/>
      <c r="AF19" s="504"/>
      <c r="AG19" s="995"/>
      <c r="AH19" s="989"/>
      <c r="AI19" s="251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230" customFormat="1" ht="13.5" hidden="1" thickBot="1">
      <c r="A20" s="221"/>
      <c r="B20" s="56"/>
      <c r="C20" s="253"/>
      <c r="D20" s="254"/>
      <c r="E20" s="430"/>
      <c r="F20" s="641"/>
      <c r="G20" s="254"/>
      <c r="H20" s="255"/>
      <c r="I20" s="253"/>
      <c r="J20" s="256"/>
      <c r="K20" s="257"/>
      <c r="L20" s="258"/>
      <c r="M20" s="258"/>
      <c r="N20" s="483"/>
      <c r="O20" s="258"/>
      <c r="P20" s="258"/>
      <c r="Q20" s="258"/>
      <c r="R20" s="289"/>
      <c r="S20" s="291"/>
      <c r="T20" s="259"/>
      <c r="U20" s="238"/>
      <c r="V20" s="260"/>
      <c r="W20" s="308"/>
      <c r="X20" s="445"/>
      <c r="Y20" s="583"/>
      <c r="Z20" s="588"/>
      <c r="AA20" s="478"/>
      <c r="AB20" s="675"/>
      <c r="AC20" s="255"/>
      <c r="AD20" s="673"/>
      <c r="AE20" s="329"/>
      <c r="AF20" s="505"/>
      <c r="AG20" s="996"/>
      <c r="AH20" s="505"/>
      <c r="AI20" s="253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</row>
    <row r="21" spans="1:49" ht="13.5" hidden="1" thickBot="1">
      <c r="A21" s="567"/>
      <c r="B21" s="56"/>
      <c r="C21" s="251"/>
      <c r="D21" s="245"/>
      <c r="E21" s="431"/>
      <c r="F21" s="642"/>
      <c r="G21" s="245"/>
      <c r="H21" s="249"/>
      <c r="I21" s="251"/>
      <c r="J21" s="241"/>
      <c r="K21" s="252"/>
      <c r="L21" s="250"/>
      <c r="M21" s="250"/>
      <c r="N21" s="484"/>
      <c r="O21" s="250"/>
      <c r="P21" s="250"/>
      <c r="Q21" s="250"/>
      <c r="R21" s="289"/>
      <c r="S21" s="291"/>
      <c r="T21" s="237"/>
      <c r="U21" s="238"/>
      <c r="V21" s="242"/>
      <c r="W21" s="308"/>
      <c r="X21" s="443"/>
      <c r="Y21" s="581"/>
      <c r="Z21" s="523"/>
      <c r="AA21" s="477"/>
      <c r="AB21" s="674"/>
      <c r="AC21" s="249"/>
      <c r="AD21" s="429"/>
      <c r="AE21" s="247"/>
      <c r="AF21" s="504"/>
      <c r="AG21" s="995"/>
      <c r="AH21" s="989"/>
      <c r="AI21" s="251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5" ht="13.5" hidden="1" thickBot="1">
      <c r="A22" s="196"/>
      <c r="B22" s="56"/>
      <c r="C22" s="251"/>
      <c r="D22" s="245"/>
      <c r="E22" s="431"/>
      <c r="F22" s="642"/>
      <c r="G22" s="245"/>
      <c r="H22" s="249"/>
      <c r="I22" s="251"/>
      <c r="J22" s="241"/>
      <c r="K22" s="252"/>
      <c r="L22" s="249"/>
      <c r="M22" s="249"/>
      <c r="N22" s="484"/>
      <c r="O22" s="249"/>
      <c r="P22" s="249"/>
      <c r="Q22" s="249"/>
      <c r="R22" s="289"/>
      <c r="S22" s="291"/>
      <c r="T22" s="311"/>
      <c r="U22" s="238"/>
      <c r="V22" s="242"/>
      <c r="W22" s="308"/>
      <c r="X22" s="443"/>
      <c r="Y22" s="581"/>
      <c r="Z22" s="523"/>
      <c r="AA22" s="477"/>
      <c r="AB22" s="493"/>
      <c r="AC22" s="249"/>
      <c r="AD22" s="429"/>
      <c r="AE22" s="247"/>
      <c r="AF22" s="504"/>
      <c r="AG22" s="995"/>
      <c r="AH22" s="989"/>
      <c r="AI22" s="251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13.5" hidden="1" thickBot="1">
      <c r="A23" s="97"/>
      <c r="B23" s="56"/>
      <c r="C23" s="241"/>
      <c r="D23" s="252"/>
      <c r="E23" s="264"/>
      <c r="F23" s="643"/>
      <c r="G23" s="252"/>
      <c r="H23" s="261"/>
      <c r="I23" s="241"/>
      <c r="J23" s="241"/>
      <c r="K23" s="252"/>
      <c r="L23" s="236"/>
      <c r="M23" s="236"/>
      <c r="N23" s="485"/>
      <c r="O23" s="236"/>
      <c r="P23" s="236"/>
      <c r="Q23" s="236"/>
      <c r="R23" s="292"/>
      <c r="S23" s="291"/>
      <c r="T23" s="237"/>
      <c r="U23" s="263"/>
      <c r="V23" s="262"/>
      <c r="W23" s="308"/>
      <c r="X23" s="446"/>
      <c r="Y23" s="582"/>
      <c r="Z23" s="446"/>
      <c r="AA23" s="477"/>
      <c r="AB23" s="493"/>
      <c r="AC23" s="261"/>
      <c r="AD23" s="264"/>
      <c r="AE23" s="261"/>
      <c r="AF23" s="504"/>
      <c r="AG23" s="995"/>
      <c r="AH23" s="989"/>
      <c r="AI23" s="241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3.5" hidden="1" thickBot="1">
      <c r="A24" s="488"/>
      <c r="B24" s="164"/>
      <c r="C24" s="241"/>
      <c r="D24" s="264"/>
      <c r="E24" s="264"/>
      <c r="F24" s="643"/>
      <c r="G24" s="252"/>
      <c r="H24" s="261"/>
      <c r="I24" s="241"/>
      <c r="J24" s="241"/>
      <c r="K24" s="252"/>
      <c r="L24" s="249"/>
      <c r="M24" s="250"/>
      <c r="N24" s="249"/>
      <c r="O24" s="249"/>
      <c r="P24" s="249"/>
      <c r="Q24" s="249"/>
      <c r="R24" s="289"/>
      <c r="S24" s="290"/>
      <c r="T24" s="311"/>
      <c r="U24" s="364"/>
      <c r="V24" s="262"/>
      <c r="W24" s="308"/>
      <c r="X24" s="446"/>
      <c r="Y24" s="584"/>
      <c r="Z24" s="446"/>
      <c r="AA24" s="477"/>
      <c r="AB24" s="493"/>
      <c r="AC24" s="261"/>
      <c r="AD24" s="264"/>
      <c r="AE24" s="261"/>
      <c r="AF24" s="504"/>
      <c r="AG24" s="995"/>
      <c r="AH24" s="989"/>
      <c r="AI24" s="241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3.5" hidden="1" thickBot="1">
      <c r="A25" s="129"/>
      <c r="B25" s="56"/>
      <c r="C25" s="65"/>
      <c r="D25" s="68"/>
      <c r="E25" s="68"/>
      <c r="F25" s="74"/>
      <c r="G25" s="66"/>
      <c r="H25" s="67"/>
      <c r="I25" s="65"/>
      <c r="J25" s="65"/>
      <c r="K25" s="66"/>
      <c r="L25" s="189"/>
      <c r="M25" s="189"/>
      <c r="N25" s="486"/>
      <c r="O25" s="189"/>
      <c r="P25" s="189"/>
      <c r="Q25" s="189"/>
      <c r="R25" s="67"/>
      <c r="S25" s="101"/>
      <c r="T25" s="100"/>
      <c r="U25" s="212"/>
      <c r="V25" s="156"/>
      <c r="W25" s="308"/>
      <c r="X25" s="446"/>
      <c r="Y25" s="582"/>
      <c r="Z25" s="446"/>
      <c r="AA25" s="477"/>
      <c r="AB25" s="493"/>
      <c r="AC25" s="67"/>
      <c r="AD25" s="68"/>
      <c r="AE25" s="67"/>
      <c r="AF25" s="239"/>
      <c r="AG25" s="997"/>
      <c r="AH25" s="171"/>
      <c r="AI25" s="65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3.5" hidden="1" thickBot="1">
      <c r="A26" s="279"/>
      <c r="B26" s="56"/>
      <c r="C26" s="65"/>
      <c r="D26" s="68"/>
      <c r="E26" s="68"/>
      <c r="F26" s="74"/>
      <c r="G26" s="66"/>
      <c r="H26" s="67"/>
      <c r="I26" s="65"/>
      <c r="J26" s="362"/>
      <c r="K26" s="66"/>
      <c r="L26" s="189"/>
      <c r="M26" s="189"/>
      <c r="N26" s="486"/>
      <c r="O26" s="189"/>
      <c r="P26" s="189"/>
      <c r="Q26" s="189"/>
      <c r="R26" s="67"/>
      <c r="S26" s="290"/>
      <c r="T26" s="363"/>
      <c r="U26" s="365"/>
      <c r="V26" s="156"/>
      <c r="W26" s="308"/>
      <c r="X26" s="446"/>
      <c r="Y26" s="582"/>
      <c r="Z26" s="446"/>
      <c r="AA26" s="477"/>
      <c r="AB26" s="493"/>
      <c r="AC26" s="67"/>
      <c r="AD26" s="68"/>
      <c r="AE26" s="67"/>
      <c r="AF26" s="239"/>
      <c r="AG26" s="997"/>
      <c r="AH26" s="171"/>
      <c r="AI26" s="65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hidden="1" thickBot="1">
      <c r="A27" s="279"/>
      <c r="B27" s="56"/>
      <c r="C27" s="64"/>
      <c r="D27" s="67"/>
      <c r="E27" s="67"/>
      <c r="F27" s="212"/>
      <c r="G27" s="66"/>
      <c r="H27" s="67"/>
      <c r="I27" s="64"/>
      <c r="J27" s="362">
        <f aca="true" t="shared" si="0" ref="J27:J37">K27+O27+P27+Q27+R27+S27</f>
        <v>0</v>
      </c>
      <c r="K27" s="66">
        <f>L27+N27</f>
        <v>0</v>
      </c>
      <c r="L27" s="189"/>
      <c r="M27" s="67"/>
      <c r="N27" s="486"/>
      <c r="O27" s="189"/>
      <c r="P27" s="189"/>
      <c r="Q27" s="189"/>
      <c r="R27" s="67"/>
      <c r="S27" s="290"/>
      <c r="T27" s="363">
        <f>S27+U27</f>
        <v>0</v>
      </c>
      <c r="U27" s="365"/>
      <c r="V27" s="188"/>
      <c r="W27" s="308">
        <f>U27+J27</f>
        <v>0</v>
      </c>
      <c r="X27" s="446"/>
      <c r="Y27" s="582"/>
      <c r="Z27" s="446"/>
      <c r="AA27" s="477"/>
      <c r="AB27" s="493"/>
      <c r="AC27" s="67"/>
      <c r="AD27" s="68"/>
      <c r="AE27" s="67"/>
      <c r="AF27" s="239"/>
      <c r="AG27" s="997"/>
      <c r="AH27" s="171"/>
      <c r="AI27" s="65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13.5" hidden="1" thickBot="1">
      <c r="A28" s="152"/>
      <c r="B28" s="56"/>
      <c r="C28" s="130"/>
      <c r="D28" s="131"/>
      <c r="E28" s="432"/>
      <c r="F28" s="432"/>
      <c r="G28" s="131"/>
      <c r="H28" s="153"/>
      <c r="I28" s="132"/>
      <c r="J28" s="65">
        <f t="shared" si="0"/>
        <v>0</v>
      </c>
      <c r="K28" s="273">
        <f>L28+N28</f>
        <v>0</v>
      </c>
      <c r="L28" s="153"/>
      <c r="M28" s="153"/>
      <c r="N28" s="487"/>
      <c r="O28" s="281"/>
      <c r="P28" s="153"/>
      <c r="Q28" s="153"/>
      <c r="R28" s="312"/>
      <c r="S28" s="312"/>
      <c r="T28" s="100">
        <f>S28+U28</f>
        <v>0</v>
      </c>
      <c r="U28" s="313"/>
      <c r="V28" s="216"/>
      <c r="W28" s="308">
        <f>U28+J28</f>
        <v>0</v>
      </c>
      <c r="X28" s="448"/>
      <c r="Y28" s="585"/>
      <c r="Z28" s="589"/>
      <c r="AA28" s="480"/>
      <c r="AB28" s="676"/>
      <c r="AC28" s="153"/>
      <c r="AD28" s="501"/>
      <c r="AE28" s="335"/>
      <c r="AF28" s="506"/>
      <c r="AG28" s="432"/>
      <c r="AH28" s="506"/>
      <c r="AI28" s="988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17.25" customHeight="1" thickBot="1">
      <c r="A29" s="157"/>
      <c r="B29" s="34" t="s">
        <v>36</v>
      </c>
      <c r="C29" s="90">
        <f>D29+H29</f>
        <v>0</v>
      </c>
      <c r="D29" s="91">
        <f>SUM(D19:D28)</f>
        <v>0</v>
      </c>
      <c r="E29" s="91">
        <f aca="true" t="shared" si="1" ref="E29:AC29">SUM(E19:E28)</f>
        <v>0</v>
      </c>
      <c r="F29" s="138">
        <f t="shared" si="1"/>
        <v>0</v>
      </c>
      <c r="G29" s="197">
        <f t="shared" si="1"/>
        <v>0</v>
      </c>
      <c r="H29" s="91">
        <f t="shared" si="1"/>
        <v>0</v>
      </c>
      <c r="I29" s="90">
        <f t="shared" si="1"/>
        <v>0</v>
      </c>
      <c r="J29" s="90">
        <f t="shared" si="1"/>
        <v>0</v>
      </c>
      <c r="K29" s="91">
        <f t="shared" si="1"/>
        <v>0</v>
      </c>
      <c r="L29" s="91">
        <f t="shared" si="1"/>
        <v>0</v>
      </c>
      <c r="M29" s="91">
        <f t="shared" si="1"/>
        <v>0</v>
      </c>
      <c r="N29" s="91">
        <f t="shared" si="1"/>
        <v>0</v>
      </c>
      <c r="O29" s="91">
        <f t="shared" si="1"/>
        <v>0</v>
      </c>
      <c r="P29" s="91">
        <f t="shared" si="1"/>
        <v>0</v>
      </c>
      <c r="Q29" s="138">
        <f t="shared" si="1"/>
        <v>0</v>
      </c>
      <c r="R29" s="140">
        <f t="shared" si="1"/>
        <v>0</v>
      </c>
      <c r="S29" s="140">
        <f t="shared" si="1"/>
        <v>0</v>
      </c>
      <c r="T29" s="140">
        <f t="shared" si="1"/>
        <v>0</v>
      </c>
      <c r="U29" s="140">
        <f t="shared" si="1"/>
        <v>0</v>
      </c>
      <c r="V29" s="140">
        <f t="shared" si="1"/>
        <v>0</v>
      </c>
      <c r="W29" s="140">
        <f t="shared" si="1"/>
        <v>0</v>
      </c>
      <c r="X29" s="140">
        <f t="shared" si="1"/>
        <v>0</v>
      </c>
      <c r="Y29" s="214">
        <f t="shared" si="1"/>
        <v>0</v>
      </c>
      <c r="Z29" s="197">
        <f t="shared" si="1"/>
        <v>0</v>
      </c>
      <c r="AA29" s="382">
        <f t="shared" si="1"/>
        <v>0</v>
      </c>
      <c r="AB29" s="197">
        <f t="shared" si="1"/>
        <v>0</v>
      </c>
      <c r="AC29" s="140">
        <f t="shared" si="1"/>
        <v>0</v>
      </c>
      <c r="AD29" s="91">
        <f aca="true" t="shared" si="2" ref="AD29:AI29">SUM(AD18:AD27)</f>
        <v>0</v>
      </c>
      <c r="AE29" s="140">
        <f t="shared" si="2"/>
        <v>0</v>
      </c>
      <c r="AF29" s="469">
        <f t="shared" si="2"/>
        <v>0</v>
      </c>
      <c r="AG29" s="998">
        <f t="shared" si="2"/>
        <v>0</v>
      </c>
      <c r="AH29" s="469">
        <f t="shared" si="2"/>
        <v>0</v>
      </c>
      <c r="AI29" s="90">
        <f t="shared" si="2"/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2.75">
      <c r="A30" s="888"/>
      <c r="B30" s="893" t="s">
        <v>191</v>
      </c>
      <c r="C30" s="158"/>
      <c r="D30" s="159"/>
      <c r="E30" s="433"/>
      <c r="F30" s="433"/>
      <c r="G30" s="159"/>
      <c r="H30" s="160"/>
      <c r="I30" s="161"/>
      <c r="J30" s="162">
        <f t="shared" si="0"/>
        <v>0</v>
      </c>
      <c r="K30" s="163">
        <f>L30+N30</f>
        <v>0</v>
      </c>
      <c r="L30" s="160"/>
      <c r="M30" s="160"/>
      <c r="N30" s="160"/>
      <c r="O30" s="160"/>
      <c r="P30" s="67"/>
      <c r="Q30" s="212"/>
      <c r="R30" s="189"/>
      <c r="S30" s="189"/>
      <c r="T30" s="498">
        <f>S30+U30</f>
        <v>0</v>
      </c>
      <c r="U30" s="525"/>
      <c r="V30" s="526"/>
      <c r="W30" s="498">
        <f aca="true" t="shared" si="3" ref="W30:W37">U30+J30</f>
        <v>0</v>
      </c>
      <c r="X30" s="67"/>
      <c r="Y30" s="212"/>
      <c r="Z30" s="66"/>
      <c r="AA30" s="380"/>
      <c r="AB30" s="402"/>
      <c r="AC30" s="67"/>
      <c r="AD30" s="68"/>
      <c r="AE30" s="67"/>
      <c r="AF30" s="239"/>
      <c r="AG30" s="997"/>
      <c r="AH30" s="171"/>
      <c r="AI30" s="65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2.75">
      <c r="A31" s="889">
        <v>3</v>
      </c>
      <c r="B31" s="894" t="s">
        <v>192</v>
      </c>
      <c r="C31" s="109">
        <f>D31+H31</f>
        <v>0</v>
      </c>
      <c r="D31" s="68"/>
      <c r="E31" s="68"/>
      <c r="F31" s="74"/>
      <c r="G31" s="66"/>
      <c r="H31" s="68"/>
      <c r="I31" s="65"/>
      <c r="J31" s="65">
        <f t="shared" si="0"/>
        <v>32592</v>
      </c>
      <c r="K31" s="68">
        <f>L31+N31</f>
        <v>0</v>
      </c>
      <c r="L31" s="68"/>
      <c r="M31" s="68"/>
      <c r="N31" s="68"/>
      <c r="O31" s="68"/>
      <c r="P31" s="68"/>
      <c r="Q31" s="74"/>
      <c r="R31" s="67">
        <v>32592</v>
      </c>
      <c r="S31" s="67"/>
      <c r="T31" s="67">
        <f>S31+U31</f>
        <v>-32592</v>
      </c>
      <c r="U31" s="310">
        <v>-32592</v>
      </c>
      <c r="V31" s="67"/>
      <c r="W31" s="67">
        <f t="shared" si="3"/>
        <v>0</v>
      </c>
      <c r="X31" s="67"/>
      <c r="Y31" s="212"/>
      <c r="Z31" s="66"/>
      <c r="AA31" s="380"/>
      <c r="AB31" s="402"/>
      <c r="AC31" s="67"/>
      <c r="AD31" s="68"/>
      <c r="AE31" s="67"/>
      <c r="AF31" s="239"/>
      <c r="AG31" s="997"/>
      <c r="AH31" s="171"/>
      <c r="AI31" s="65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s="230" customFormat="1" ht="12.75">
      <c r="A32" s="891">
        <v>3</v>
      </c>
      <c r="B32" s="895" t="s">
        <v>196</v>
      </c>
      <c r="C32" s="109">
        <f>D32+H32</f>
        <v>0</v>
      </c>
      <c r="D32" s="907"/>
      <c r="E32" s="907"/>
      <c r="F32" s="908"/>
      <c r="G32" s="909"/>
      <c r="H32" s="907"/>
      <c r="I32" s="906"/>
      <c r="J32" s="906">
        <f t="shared" si="0"/>
        <v>-1045</v>
      </c>
      <c r="K32" s="907">
        <v>-769</v>
      </c>
      <c r="L32" s="907">
        <v>-769</v>
      </c>
      <c r="M32" s="907"/>
      <c r="N32" s="907"/>
      <c r="O32" s="907">
        <v>-261</v>
      </c>
      <c r="P32" s="907">
        <v>-15</v>
      </c>
      <c r="Q32" s="908"/>
      <c r="R32" s="910"/>
      <c r="S32" s="910"/>
      <c r="T32" s="910">
        <f>S32+U32</f>
        <v>0</v>
      </c>
      <c r="U32" s="910"/>
      <c r="V32" s="910"/>
      <c r="W32" s="910">
        <f t="shared" si="3"/>
        <v>-1045</v>
      </c>
      <c r="X32" s="910"/>
      <c r="Y32" s="915"/>
      <c r="Z32" s="909">
        <v>-1045</v>
      </c>
      <c r="AA32" s="911"/>
      <c r="AB32" s="66">
        <v>-769</v>
      </c>
      <c r="AC32" s="910"/>
      <c r="AD32" s="907"/>
      <c r="AE32" s="910"/>
      <c r="AF32" s="912"/>
      <c r="AG32" s="999"/>
      <c r="AH32" s="912"/>
      <c r="AI32" s="906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</row>
    <row r="33" spans="1:45" ht="12.75">
      <c r="A33" s="891">
        <v>3</v>
      </c>
      <c r="B33" s="895" t="s">
        <v>197</v>
      </c>
      <c r="C33" s="109">
        <f>D33+H33</f>
        <v>0</v>
      </c>
      <c r="D33" s="68"/>
      <c r="E33" s="68"/>
      <c r="F33" s="74"/>
      <c r="G33" s="66"/>
      <c r="H33" s="68"/>
      <c r="I33" s="65"/>
      <c r="J33" s="65">
        <f t="shared" si="0"/>
        <v>-116</v>
      </c>
      <c r="K33" s="68">
        <f>L33+N33</f>
        <v>0</v>
      </c>
      <c r="L33" s="68"/>
      <c r="M33" s="68"/>
      <c r="N33" s="68"/>
      <c r="O33" s="68"/>
      <c r="P33" s="68"/>
      <c r="Q33" s="74"/>
      <c r="R33" s="67"/>
      <c r="S33" s="67">
        <v>-116</v>
      </c>
      <c r="T33" s="67">
        <f>S33+U33</f>
        <v>-116</v>
      </c>
      <c r="U33" s="67"/>
      <c r="V33" s="67"/>
      <c r="W33" s="67">
        <f t="shared" si="3"/>
        <v>-116</v>
      </c>
      <c r="X33" s="67"/>
      <c r="Y33" s="212"/>
      <c r="Z33" s="66">
        <v>-116</v>
      </c>
      <c r="AA33" s="383"/>
      <c r="AB33" s="198"/>
      <c r="AC33" s="67"/>
      <c r="AD33" s="68"/>
      <c r="AE33" s="67"/>
      <c r="AF33" s="171"/>
      <c r="AG33" s="1000"/>
      <c r="AH33" s="171"/>
      <c r="AI33" s="65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2.75">
      <c r="A34" s="891">
        <v>3</v>
      </c>
      <c r="B34" s="895" t="s">
        <v>198</v>
      </c>
      <c r="C34" s="109">
        <f>D34+H34</f>
        <v>0</v>
      </c>
      <c r="D34" s="99"/>
      <c r="E34" s="99"/>
      <c r="F34" s="173"/>
      <c r="G34" s="100"/>
      <c r="H34" s="99"/>
      <c r="I34" s="98"/>
      <c r="J34" s="65">
        <f t="shared" si="0"/>
        <v>25000</v>
      </c>
      <c r="K34" s="99">
        <f>L34+N34</f>
        <v>0</v>
      </c>
      <c r="L34" s="99"/>
      <c r="M34" s="99"/>
      <c r="N34" s="99"/>
      <c r="O34" s="99"/>
      <c r="P34" s="99"/>
      <c r="Q34" s="173"/>
      <c r="R34" s="310">
        <v>25000</v>
      </c>
      <c r="S34" s="310"/>
      <c r="T34" s="310">
        <f>S34+U34</f>
        <v>0</v>
      </c>
      <c r="U34" s="310"/>
      <c r="V34" s="67"/>
      <c r="W34" s="67">
        <f t="shared" si="3"/>
        <v>25000</v>
      </c>
      <c r="X34" s="310"/>
      <c r="Y34" s="211"/>
      <c r="Z34" s="100">
        <v>25000</v>
      </c>
      <c r="AA34" s="380"/>
      <c r="AB34" s="402"/>
      <c r="AC34" s="310"/>
      <c r="AD34" s="99"/>
      <c r="AE34" s="310"/>
      <c r="AF34" s="239"/>
      <c r="AG34" s="997"/>
      <c r="AH34" s="239"/>
      <c r="AI34" s="98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3.5" thickBot="1">
      <c r="A35" s="891">
        <v>3</v>
      </c>
      <c r="B35" s="895" t="s">
        <v>199</v>
      </c>
      <c r="C35" s="109">
        <f>D35+H35</f>
        <v>0</v>
      </c>
      <c r="D35" s="99"/>
      <c r="E35" s="99"/>
      <c r="F35" s="173"/>
      <c r="G35" s="100"/>
      <c r="H35" s="99"/>
      <c r="I35" s="98"/>
      <c r="J35" s="98">
        <f t="shared" si="0"/>
        <v>3000</v>
      </c>
      <c r="K35" s="99">
        <f>L35+N35</f>
        <v>0</v>
      </c>
      <c r="L35" s="99"/>
      <c r="M35" s="99"/>
      <c r="N35" s="99"/>
      <c r="O35" s="99"/>
      <c r="P35" s="99"/>
      <c r="Q35" s="173"/>
      <c r="R35" s="310">
        <v>3000</v>
      </c>
      <c r="S35" s="310"/>
      <c r="T35" s="310">
        <f aca="true" t="shared" si="4" ref="T35:T42">S35+U35</f>
        <v>0</v>
      </c>
      <c r="U35" s="310"/>
      <c r="V35" s="310"/>
      <c r="W35" s="310">
        <f t="shared" si="3"/>
        <v>3000</v>
      </c>
      <c r="X35" s="310"/>
      <c r="Y35" s="211"/>
      <c r="Z35" s="100">
        <v>3000</v>
      </c>
      <c r="AA35" s="380"/>
      <c r="AB35" s="402"/>
      <c r="AC35" s="310"/>
      <c r="AD35" s="99"/>
      <c r="AE35" s="310"/>
      <c r="AF35" s="239"/>
      <c r="AG35" s="997"/>
      <c r="AH35" s="239"/>
      <c r="AI35" s="98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2.75" hidden="1">
      <c r="A36" s="891"/>
      <c r="B36" s="895"/>
      <c r="C36" s="98"/>
      <c r="D36" s="99"/>
      <c r="E36" s="99"/>
      <c r="F36" s="173"/>
      <c r="G36" s="100"/>
      <c r="H36" s="99"/>
      <c r="I36" s="98"/>
      <c r="J36" s="98">
        <f t="shared" si="0"/>
        <v>0</v>
      </c>
      <c r="K36" s="99"/>
      <c r="L36" s="99"/>
      <c r="M36" s="99"/>
      <c r="N36" s="99"/>
      <c r="O36" s="99"/>
      <c r="P36" s="99"/>
      <c r="Q36" s="173"/>
      <c r="R36" s="310"/>
      <c r="S36" s="310"/>
      <c r="T36" s="310">
        <f t="shared" si="4"/>
        <v>0</v>
      </c>
      <c r="U36" s="310"/>
      <c r="V36" s="310"/>
      <c r="W36" s="310">
        <f t="shared" si="3"/>
        <v>0</v>
      </c>
      <c r="X36" s="310"/>
      <c r="Y36" s="211"/>
      <c r="Z36" s="100"/>
      <c r="AA36" s="380"/>
      <c r="AB36" s="402"/>
      <c r="AC36" s="310"/>
      <c r="AD36" s="99"/>
      <c r="AE36" s="310"/>
      <c r="AF36" s="239"/>
      <c r="AG36" s="997"/>
      <c r="AH36" s="239"/>
      <c r="AI36" s="98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2.75" hidden="1">
      <c r="A37" s="891"/>
      <c r="B37" s="895"/>
      <c r="C37" s="98"/>
      <c r="D37" s="99"/>
      <c r="E37" s="99"/>
      <c r="F37" s="173"/>
      <c r="G37" s="100"/>
      <c r="H37" s="99"/>
      <c r="I37" s="98"/>
      <c r="J37" s="98">
        <f t="shared" si="0"/>
        <v>0</v>
      </c>
      <c r="K37" s="99"/>
      <c r="L37" s="99"/>
      <c r="M37" s="99"/>
      <c r="N37" s="99"/>
      <c r="O37" s="99"/>
      <c r="P37" s="99"/>
      <c r="Q37" s="173"/>
      <c r="R37" s="310"/>
      <c r="S37" s="310"/>
      <c r="T37" s="310">
        <f t="shared" si="4"/>
        <v>0</v>
      </c>
      <c r="U37" s="310"/>
      <c r="V37" s="310"/>
      <c r="W37" s="310">
        <f t="shared" si="3"/>
        <v>0</v>
      </c>
      <c r="X37" s="310"/>
      <c r="Y37" s="211"/>
      <c r="Z37" s="100"/>
      <c r="AA37" s="380"/>
      <c r="AB37" s="402"/>
      <c r="AC37" s="310"/>
      <c r="AD37" s="99"/>
      <c r="AE37" s="310"/>
      <c r="AF37" s="239"/>
      <c r="AG37" s="997"/>
      <c r="AH37" s="239"/>
      <c r="AI37" s="98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2.75" hidden="1">
      <c r="A38" s="102"/>
      <c r="B38" s="165"/>
      <c r="C38" s="98"/>
      <c r="D38" s="99"/>
      <c r="E38" s="99"/>
      <c r="F38" s="173"/>
      <c r="G38" s="100"/>
      <c r="H38" s="99"/>
      <c r="I38" s="98"/>
      <c r="J38" s="98"/>
      <c r="K38" s="99"/>
      <c r="L38" s="99"/>
      <c r="M38" s="99"/>
      <c r="N38" s="99"/>
      <c r="O38" s="99"/>
      <c r="P38" s="99"/>
      <c r="Q38" s="173"/>
      <c r="R38" s="310"/>
      <c r="S38" s="310"/>
      <c r="T38" s="310">
        <f t="shared" si="4"/>
        <v>0</v>
      </c>
      <c r="U38" s="310"/>
      <c r="V38" s="310"/>
      <c r="W38" s="310"/>
      <c r="X38" s="310"/>
      <c r="Y38" s="211"/>
      <c r="Z38" s="100"/>
      <c r="AA38" s="380"/>
      <c r="AB38" s="402"/>
      <c r="AC38" s="310"/>
      <c r="AD38" s="99"/>
      <c r="AE38" s="310"/>
      <c r="AF38" s="239"/>
      <c r="AG38" s="997"/>
      <c r="AH38" s="239"/>
      <c r="AI38" s="98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2.75" hidden="1">
      <c r="A39" s="102"/>
      <c r="B39" s="165"/>
      <c r="C39" s="98"/>
      <c r="D39" s="99"/>
      <c r="E39" s="99"/>
      <c r="F39" s="173"/>
      <c r="G39" s="100"/>
      <c r="H39" s="99"/>
      <c r="I39" s="98"/>
      <c r="J39" s="98"/>
      <c r="K39" s="99"/>
      <c r="L39" s="99"/>
      <c r="M39" s="99"/>
      <c r="N39" s="99"/>
      <c r="O39" s="99"/>
      <c r="P39" s="99"/>
      <c r="Q39" s="173"/>
      <c r="R39" s="310"/>
      <c r="S39" s="310"/>
      <c r="T39" s="310">
        <f t="shared" si="4"/>
        <v>0</v>
      </c>
      <c r="U39" s="310"/>
      <c r="V39" s="310"/>
      <c r="W39" s="310"/>
      <c r="X39" s="310"/>
      <c r="Y39" s="211"/>
      <c r="Z39" s="100"/>
      <c r="AA39" s="380"/>
      <c r="AB39" s="402"/>
      <c r="AC39" s="310"/>
      <c r="AD39" s="99"/>
      <c r="AE39" s="310"/>
      <c r="AF39" s="239"/>
      <c r="AG39" s="997"/>
      <c r="AH39" s="239"/>
      <c r="AI39" s="98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2.75" hidden="1">
      <c r="A40" s="102"/>
      <c r="B40" s="165"/>
      <c r="C40" s="98"/>
      <c r="D40" s="99"/>
      <c r="E40" s="99"/>
      <c r="F40" s="173"/>
      <c r="G40" s="100"/>
      <c r="H40" s="99"/>
      <c r="I40" s="98"/>
      <c r="J40" s="98"/>
      <c r="K40" s="99"/>
      <c r="L40" s="99"/>
      <c r="M40" s="99"/>
      <c r="N40" s="99"/>
      <c r="O40" s="99"/>
      <c r="P40" s="99"/>
      <c r="Q40" s="173"/>
      <c r="R40" s="310"/>
      <c r="S40" s="310"/>
      <c r="T40" s="310">
        <f t="shared" si="4"/>
        <v>0</v>
      </c>
      <c r="U40" s="310"/>
      <c r="V40" s="310"/>
      <c r="W40" s="310"/>
      <c r="X40" s="310"/>
      <c r="Y40" s="211"/>
      <c r="Z40" s="100"/>
      <c r="AA40" s="380"/>
      <c r="AB40" s="402"/>
      <c r="AC40" s="310"/>
      <c r="AD40" s="99"/>
      <c r="AE40" s="310"/>
      <c r="AF40" s="239"/>
      <c r="AG40" s="997"/>
      <c r="AH40" s="239"/>
      <c r="AI40" s="98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2.75" hidden="1">
      <c r="A41" s="102"/>
      <c r="B41" s="165"/>
      <c r="C41" s="98"/>
      <c r="D41" s="99"/>
      <c r="E41" s="99"/>
      <c r="F41" s="173"/>
      <c r="G41" s="100"/>
      <c r="H41" s="99"/>
      <c r="I41" s="98"/>
      <c r="J41" s="98"/>
      <c r="K41" s="99"/>
      <c r="L41" s="99"/>
      <c r="M41" s="99"/>
      <c r="N41" s="99"/>
      <c r="O41" s="99"/>
      <c r="P41" s="99"/>
      <c r="Q41" s="173"/>
      <c r="R41" s="310"/>
      <c r="S41" s="310"/>
      <c r="T41" s="310">
        <f t="shared" si="4"/>
        <v>0</v>
      </c>
      <c r="U41" s="310"/>
      <c r="V41" s="310"/>
      <c r="W41" s="310"/>
      <c r="X41" s="310"/>
      <c r="Y41" s="211"/>
      <c r="Z41" s="100"/>
      <c r="AA41" s="380"/>
      <c r="AB41" s="402"/>
      <c r="AC41" s="310"/>
      <c r="AD41" s="99"/>
      <c r="AE41" s="310"/>
      <c r="AF41" s="239"/>
      <c r="AG41" s="997"/>
      <c r="AH41" s="239"/>
      <c r="AI41" s="98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3.5" hidden="1" thickBot="1">
      <c r="A42" s="102"/>
      <c r="B42" s="165"/>
      <c r="C42" s="98"/>
      <c r="D42" s="99"/>
      <c r="E42" s="99"/>
      <c r="F42" s="173"/>
      <c r="G42" s="100"/>
      <c r="H42" s="99"/>
      <c r="I42" s="98"/>
      <c r="J42" s="98">
        <f>K42+O42+P42+Q42+R42</f>
        <v>0</v>
      </c>
      <c r="K42" s="99"/>
      <c r="L42" s="99"/>
      <c r="M42" s="99"/>
      <c r="N42" s="99"/>
      <c r="O42" s="99"/>
      <c r="P42" s="99"/>
      <c r="Q42" s="173"/>
      <c r="R42" s="310"/>
      <c r="S42" s="310"/>
      <c r="T42" s="310">
        <f t="shared" si="4"/>
        <v>0</v>
      </c>
      <c r="U42" s="310"/>
      <c r="V42" s="310"/>
      <c r="W42" s="310">
        <f>J42+U42</f>
        <v>0</v>
      </c>
      <c r="X42" s="310"/>
      <c r="Y42" s="211"/>
      <c r="Z42" s="100"/>
      <c r="AA42" s="380"/>
      <c r="AB42" s="402"/>
      <c r="AC42" s="310"/>
      <c r="AD42" s="99"/>
      <c r="AE42" s="310"/>
      <c r="AF42" s="239"/>
      <c r="AG42" s="997"/>
      <c r="AH42" s="239"/>
      <c r="AI42" s="98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3.5" thickBot="1">
      <c r="A43" s="116"/>
      <c r="B43" s="34" t="s">
        <v>37</v>
      </c>
      <c r="C43" s="90">
        <f aca="true" t="shared" si="5" ref="C43:V43">SUM(C30:C42)</f>
        <v>0</v>
      </c>
      <c r="D43" s="91">
        <f t="shared" si="5"/>
        <v>0</v>
      </c>
      <c r="E43" s="91">
        <f>SUM(E30:E42)</f>
        <v>0</v>
      </c>
      <c r="F43" s="138">
        <f>SUM(F30:F42)</f>
        <v>0</v>
      </c>
      <c r="G43" s="197">
        <f>SUM(G30:G42)</f>
        <v>0</v>
      </c>
      <c r="H43" s="91">
        <f t="shared" si="5"/>
        <v>0</v>
      </c>
      <c r="I43" s="90">
        <f t="shared" si="5"/>
        <v>0</v>
      </c>
      <c r="J43" s="90">
        <f t="shared" si="5"/>
        <v>59431</v>
      </c>
      <c r="K43" s="91">
        <f t="shared" si="5"/>
        <v>-769</v>
      </c>
      <c r="L43" s="91">
        <f t="shared" si="5"/>
        <v>-769</v>
      </c>
      <c r="M43" s="91"/>
      <c r="N43" s="91">
        <f t="shared" si="5"/>
        <v>0</v>
      </c>
      <c r="O43" s="91">
        <f t="shared" si="5"/>
        <v>-261</v>
      </c>
      <c r="P43" s="91">
        <f t="shared" si="5"/>
        <v>-15</v>
      </c>
      <c r="Q43" s="138">
        <f t="shared" si="5"/>
        <v>0</v>
      </c>
      <c r="R43" s="140">
        <f t="shared" si="5"/>
        <v>60592</v>
      </c>
      <c r="S43" s="140">
        <f t="shared" si="5"/>
        <v>-116</v>
      </c>
      <c r="T43" s="140">
        <f t="shared" si="5"/>
        <v>-32708</v>
      </c>
      <c r="U43" s="140">
        <f t="shared" si="5"/>
        <v>-32592</v>
      </c>
      <c r="V43" s="140">
        <f t="shared" si="5"/>
        <v>0</v>
      </c>
      <c r="W43" s="140">
        <f>U43+J43</f>
        <v>26839</v>
      </c>
      <c r="X43" s="140">
        <f aca="true" t="shared" si="6" ref="X43:AC43">SUM(X30:X42)</f>
        <v>0</v>
      </c>
      <c r="Y43" s="214">
        <f t="shared" si="6"/>
        <v>0</v>
      </c>
      <c r="Z43" s="197">
        <f t="shared" si="6"/>
        <v>26839</v>
      </c>
      <c r="AA43" s="382">
        <f t="shared" si="6"/>
        <v>0</v>
      </c>
      <c r="AB43" s="197">
        <f t="shared" si="6"/>
        <v>-769</v>
      </c>
      <c r="AC43" s="140">
        <f t="shared" si="6"/>
        <v>0</v>
      </c>
      <c r="AD43" s="91"/>
      <c r="AE43" s="140"/>
      <c r="AF43" s="469"/>
      <c r="AG43" s="998"/>
      <c r="AH43" s="469">
        <f>SUM(AH30:AH42)</f>
        <v>0</v>
      </c>
      <c r="AI43" s="90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2.75">
      <c r="A44" s="104">
        <v>3</v>
      </c>
      <c r="B44" s="164" t="s">
        <v>212</v>
      </c>
      <c r="C44" s="105">
        <f>D44+H44</f>
        <v>0</v>
      </c>
      <c r="D44" s="106"/>
      <c r="E44" s="106"/>
      <c r="F44" s="176"/>
      <c r="G44" s="107"/>
      <c r="H44" s="106"/>
      <c r="I44" s="105"/>
      <c r="J44" s="105">
        <f aca="true" t="shared" si="7" ref="J44:J56">K44+O44+P44+Q44+R44+S44</f>
        <v>7432</v>
      </c>
      <c r="K44" s="106">
        <f>L44+N44</f>
        <v>0</v>
      </c>
      <c r="L44" s="106"/>
      <c r="M44" s="106"/>
      <c r="N44" s="106"/>
      <c r="O44" s="106"/>
      <c r="P44" s="106"/>
      <c r="Q44" s="176"/>
      <c r="R44" s="217">
        <v>7432</v>
      </c>
      <c r="S44" s="217"/>
      <c r="T44" s="217">
        <f aca="true" t="shared" si="8" ref="T44:T52">S44+U44</f>
        <v>-7432</v>
      </c>
      <c r="U44" s="217">
        <v>-7432</v>
      </c>
      <c r="V44" s="217"/>
      <c r="W44" s="217">
        <f>J44+U44+V44</f>
        <v>0</v>
      </c>
      <c r="X44" s="217"/>
      <c r="Y44" s="512"/>
      <c r="Z44" s="107"/>
      <c r="AA44" s="384"/>
      <c r="AB44" s="403"/>
      <c r="AC44" s="217"/>
      <c r="AD44" s="106"/>
      <c r="AE44" s="217"/>
      <c r="AF44" s="470"/>
      <c r="AG44" s="1001"/>
      <c r="AH44" s="470"/>
      <c r="AI44" s="105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2.75">
      <c r="A45" s="954">
        <v>1</v>
      </c>
      <c r="B45" s="923" t="s">
        <v>214</v>
      </c>
      <c r="C45" s="109">
        <f>D45+H45</f>
        <v>0</v>
      </c>
      <c r="D45" s="1016"/>
      <c r="E45" s="1016"/>
      <c r="F45" s="1017"/>
      <c r="G45" s="1018"/>
      <c r="H45" s="1016"/>
      <c r="I45" s="1015"/>
      <c r="J45" s="1015">
        <f t="shared" si="7"/>
        <v>16659</v>
      </c>
      <c r="K45" s="1016">
        <f>L45+N45</f>
        <v>0</v>
      </c>
      <c r="L45" s="1016"/>
      <c r="M45" s="1016"/>
      <c r="N45" s="1016"/>
      <c r="O45" s="1016"/>
      <c r="P45" s="1016"/>
      <c r="Q45" s="1017"/>
      <c r="R45" s="1019"/>
      <c r="S45" s="1019">
        <v>16659</v>
      </c>
      <c r="T45" s="1019">
        <f t="shared" si="8"/>
        <v>0</v>
      </c>
      <c r="U45" s="1019">
        <v>-16659</v>
      </c>
      <c r="V45" s="1019"/>
      <c r="W45" s="1019">
        <f>J45+U45+V45</f>
        <v>0</v>
      </c>
      <c r="X45" s="1019"/>
      <c r="Y45" s="1020"/>
      <c r="Z45" s="1018"/>
      <c r="AA45" s="1021"/>
      <c r="AB45" s="1022"/>
      <c r="AC45" s="1019"/>
      <c r="AD45" s="1016"/>
      <c r="AE45" s="1019"/>
      <c r="AF45" s="1023"/>
      <c r="AG45" s="1024"/>
      <c r="AH45" s="1023"/>
      <c r="AI45" s="118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.75">
      <c r="A46" s="820">
        <v>1</v>
      </c>
      <c r="B46" s="821" t="s">
        <v>217</v>
      </c>
      <c r="C46" s="960">
        <f aca="true" t="shared" si="9" ref="C46:C56">D46+H46</f>
        <v>0</v>
      </c>
      <c r="D46" s="956"/>
      <c r="E46" s="956"/>
      <c r="F46" s="957"/>
      <c r="G46" s="963"/>
      <c r="H46" s="956"/>
      <c r="I46" s="960"/>
      <c r="J46" s="960">
        <f t="shared" si="7"/>
        <v>-79446</v>
      </c>
      <c r="K46" s="956">
        <v>-58419</v>
      </c>
      <c r="L46" s="956">
        <v>-58206</v>
      </c>
      <c r="M46" s="956"/>
      <c r="N46" s="956">
        <f>K46-L46</f>
        <v>-213</v>
      </c>
      <c r="O46" s="956">
        <v>-19863</v>
      </c>
      <c r="P46" s="956">
        <v>-1164</v>
      </c>
      <c r="Q46" s="957">
        <v>0</v>
      </c>
      <c r="R46" s="958">
        <v>0</v>
      </c>
      <c r="S46" s="958">
        <v>0</v>
      </c>
      <c r="T46" s="958">
        <f t="shared" si="8"/>
        <v>-19244</v>
      </c>
      <c r="U46" s="958">
        <v>-19244</v>
      </c>
      <c r="V46" s="958"/>
      <c r="W46" s="958">
        <f aca="true" t="shared" si="10" ref="W46:W56">J46+U46+V46</f>
        <v>-98690</v>
      </c>
      <c r="X46" s="958"/>
      <c r="Y46" s="964"/>
      <c r="Z46" s="1065">
        <v>-98690</v>
      </c>
      <c r="AA46" s="959"/>
      <c r="AB46" s="829">
        <v>0</v>
      </c>
      <c r="AC46" s="967">
        <v>-58206</v>
      </c>
      <c r="AD46" s="1011"/>
      <c r="AE46" s="970"/>
      <c r="AF46" s="984"/>
      <c r="AG46" s="1012"/>
      <c r="AH46" s="984"/>
      <c r="AI46" s="109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thickBot="1">
      <c r="A47" s="97">
        <v>3</v>
      </c>
      <c r="B47" s="164" t="s">
        <v>221</v>
      </c>
      <c r="C47" s="109">
        <f>D47+E47+F47+H47</f>
        <v>27877</v>
      </c>
      <c r="D47" s="110"/>
      <c r="E47" s="682">
        <v>27877</v>
      </c>
      <c r="F47" s="178"/>
      <c r="G47" s="111"/>
      <c r="H47" s="110"/>
      <c r="I47" s="109"/>
      <c r="J47" s="1014">
        <f>K47+O47+P47+Q47+R47+S47-1992</f>
        <v>1992</v>
      </c>
      <c r="K47" s="110">
        <f>L47+N47</f>
        <v>1992</v>
      </c>
      <c r="L47" s="110">
        <v>0</v>
      </c>
      <c r="M47" s="110"/>
      <c r="N47" s="110">
        <v>1992</v>
      </c>
      <c r="O47" s="110"/>
      <c r="P47" s="110"/>
      <c r="Q47" s="178"/>
      <c r="R47" s="218"/>
      <c r="S47" s="476">
        <v>1992</v>
      </c>
      <c r="T47" s="218">
        <f t="shared" si="8"/>
        <v>27877</v>
      </c>
      <c r="U47" s="218">
        <v>25885</v>
      </c>
      <c r="V47" s="218"/>
      <c r="W47" s="218">
        <f t="shared" si="10"/>
        <v>27877</v>
      </c>
      <c r="X47" s="218"/>
      <c r="Y47" s="513"/>
      <c r="Z47" s="1066">
        <v>27877</v>
      </c>
      <c r="AA47" s="385"/>
      <c r="AB47" s="1013"/>
      <c r="AC47" s="970"/>
      <c r="AD47" s="1011"/>
      <c r="AE47" s="970"/>
      <c r="AF47" s="984"/>
      <c r="AG47" s="1012"/>
      <c r="AH47" s="984">
        <v>32797</v>
      </c>
      <c r="AI47" s="109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2.75" hidden="1">
      <c r="A48" s="97"/>
      <c r="B48" s="164"/>
      <c r="C48" s="109">
        <f t="shared" si="9"/>
        <v>0</v>
      </c>
      <c r="D48" s="110"/>
      <c r="E48" s="110"/>
      <c r="F48" s="178"/>
      <c r="G48" s="111"/>
      <c r="H48" s="110"/>
      <c r="I48" s="109"/>
      <c r="J48" s="109">
        <f t="shared" si="7"/>
        <v>0</v>
      </c>
      <c r="K48" s="110"/>
      <c r="L48" s="110"/>
      <c r="M48" s="110"/>
      <c r="N48" s="110"/>
      <c r="O48" s="110"/>
      <c r="P48" s="110"/>
      <c r="Q48" s="178"/>
      <c r="R48" s="218"/>
      <c r="S48" s="218"/>
      <c r="T48" s="218">
        <f t="shared" si="8"/>
        <v>0</v>
      </c>
      <c r="U48" s="218"/>
      <c r="V48" s="218"/>
      <c r="W48" s="218">
        <f t="shared" si="10"/>
        <v>0</v>
      </c>
      <c r="X48" s="218"/>
      <c r="Y48" s="513"/>
      <c r="Z48" s="111"/>
      <c r="AA48" s="385"/>
      <c r="AB48" s="1013"/>
      <c r="AC48" s="970"/>
      <c r="AD48" s="1011"/>
      <c r="AE48" s="970"/>
      <c r="AF48" s="984"/>
      <c r="AG48" s="1012"/>
      <c r="AH48" s="984"/>
      <c r="AI48" s="109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2.75" hidden="1">
      <c r="A49" s="892"/>
      <c r="B49" s="164"/>
      <c r="C49" s="109">
        <f t="shared" si="9"/>
        <v>0</v>
      </c>
      <c r="D49" s="110"/>
      <c r="E49" s="110"/>
      <c r="F49" s="178"/>
      <c r="G49" s="111"/>
      <c r="H49" s="110"/>
      <c r="I49" s="109"/>
      <c r="J49" s="109">
        <f t="shared" si="7"/>
        <v>0</v>
      </c>
      <c r="K49" s="110"/>
      <c r="L49" s="110"/>
      <c r="M49" s="110"/>
      <c r="N49" s="110"/>
      <c r="O49" s="110"/>
      <c r="P49" s="110"/>
      <c r="Q49" s="178"/>
      <c r="R49" s="218"/>
      <c r="S49" s="218"/>
      <c r="T49" s="218">
        <f t="shared" si="8"/>
        <v>0</v>
      </c>
      <c r="U49" s="218"/>
      <c r="V49" s="218"/>
      <c r="W49" s="218">
        <f t="shared" si="10"/>
        <v>0</v>
      </c>
      <c r="X49" s="218"/>
      <c r="Y49" s="513"/>
      <c r="Z49" s="111"/>
      <c r="AA49" s="385"/>
      <c r="AB49" s="404"/>
      <c r="AC49" s="218"/>
      <c r="AD49" s="110"/>
      <c r="AE49" s="218"/>
      <c r="AF49" s="471"/>
      <c r="AG49" s="1002"/>
      <c r="AH49" s="471"/>
      <c r="AI49" s="109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2.75" hidden="1">
      <c r="A50" s="892"/>
      <c r="B50" s="164"/>
      <c r="C50" s="109">
        <f t="shared" si="9"/>
        <v>0</v>
      </c>
      <c r="D50" s="110"/>
      <c r="E50" s="110"/>
      <c r="F50" s="178"/>
      <c r="G50" s="111"/>
      <c r="H50" s="110"/>
      <c r="I50" s="109"/>
      <c r="J50" s="109">
        <f t="shared" si="7"/>
        <v>0</v>
      </c>
      <c r="K50" s="110">
        <f>L50+N50</f>
        <v>0</v>
      </c>
      <c r="L50" s="110"/>
      <c r="M50" s="110"/>
      <c r="N50" s="110"/>
      <c r="O50" s="110"/>
      <c r="P50" s="110"/>
      <c r="Q50" s="178"/>
      <c r="R50" s="218"/>
      <c r="S50" s="218"/>
      <c r="T50" s="218">
        <f t="shared" si="8"/>
        <v>0</v>
      </c>
      <c r="U50" s="218"/>
      <c r="V50" s="218"/>
      <c r="W50" s="218">
        <f t="shared" si="10"/>
        <v>0</v>
      </c>
      <c r="X50" s="218"/>
      <c r="Y50" s="513"/>
      <c r="Z50" s="111"/>
      <c r="AA50" s="385"/>
      <c r="AB50" s="404"/>
      <c r="AC50" s="218"/>
      <c r="AD50" s="110"/>
      <c r="AE50" s="218"/>
      <c r="AF50" s="471"/>
      <c r="AG50" s="1002"/>
      <c r="AH50" s="471"/>
      <c r="AI50" s="109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2.75" hidden="1">
      <c r="A51" s="196"/>
      <c r="B51" s="164"/>
      <c r="C51" s="109">
        <f t="shared" si="9"/>
        <v>0</v>
      </c>
      <c r="D51" s="110"/>
      <c r="E51" s="110"/>
      <c r="F51" s="178"/>
      <c r="G51" s="111"/>
      <c r="H51" s="110"/>
      <c r="I51" s="109"/>
      <c r="J51" s="109">
        <f t="shared" si="7"/>
        <v>0</v>
      </c>
      <c r="K51" s="110"/>
      <c r="L51" s="110"/>
      <c r="M51" s="110"/>
      <c r="N51" s="110"/>
      <c r="O51" s="110"/>
      <c r="P51" s="110"/>
      <c r="Q51" s="178"/>
      <c r="R51" s="218"/>
      <c r="S51" s="218"/>
      <c r="T51" s="218">
        <f t="shared" si="8"/>
        <v>0</v>
      </c>
      <c r="U51" s="218"/>
      <c r="V51" s="218"/>
      <c r="W51" s="218">
        <f t="shared" si="10"/>
        <v>0</v>
      </c>
      <c r="X51" s="218"/>
      <c r="Y51" s="513"/>
      <c r="Z51" s="111"/>
      <c r="AA51" s="385"/>
      <c r="AB51" s="404"/>
      <c r="AC51" s="218"/>
      <c r="AD51" s="110"/>
      <c r="AE51" s="218"/>
      <c r="AF51" s="471"/>
      <c r="AG51" s="1002"/>
      <c r="AH51" s="471"/>
      <c r="AI51" s="109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2.75" hidden="1">
      <c r="A52" s="196"/>
      <c r="B52" s="164"/>
      <c r="C52" s="109">
        <f t="shared" si="9"/>
        <v>0</v>
      </c>
      <c r="D52" s="110"/>
      <c r="E52" s="110"/>
      <c r="F52" s="178"/>
      <c r="G52" s="111"/>
      <c r="H52" s="110"/>
      <c r="I52" s="109"/>
      <c r="J52" s="109">
        <f t="shared" si="7"/>
        <v>0</v>
      </c>
      <c r="K52" s="110"/>
      <c r="L52" s="110"/>
      <c r="M52" s="110"/>
      <c r="N52" s="110"/>
      <c r="O52" s="110"/>
      <c r="P52" s="110"/>
      <c r="Q52" s="178"/>
      <c r="R52" s="218"/>
      <c r="S52" s="218"/>
      <c r="T52" s="218">
        <f t="shared" si="8"/>
        <v>0</v>
      </c>
      <c r="U52" s="218"/>
      <c r="V52" s="218"/>
      <c r="W52" s="218">
        <f t="shared" si="10"/>
        <v>0</v>
      </c>
      <c r="X52" s="218"/>
      <c r="Y52" s="513"/>
      <c r="Z52" s="111"/>
      <c r="AA52" s="385"/>
      <c r="AB52" s="404"/>
      <c r="AC52" s="218"/>
      <c r="AD52" s="110"/>
      <c r="AE52" s="218"/>
      <c r="AF52" s="471"/>
      <c r="AG52" s="1002"/>
      <c r="AH52" s="471"/>
      <c r="AI52" s="109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2.75" hidden="1">
      <c r="A53" s="196"/>
      <c r="B53" s="164"/>
      <c r="C53" s="109">
        <f t="shared" si="9"/>
        <v>0</v>
      </c>
      <c r="D53" s="110"/>
      <c r="E53" s="110"/>
      <c r="F53" s="178"/>
      <c r="G53" s="111"/>
      <c r="H53" s="110"/>
      <c r="I53" s="109"/>
      <c r="J53" s="109">
        <f t="shared" si="7"/>
        <v>0</v>
      </c>
      <c r="K53" s="110"/>
      <c r="L53" s="110"/>
      <c r="M53" s="110"/>
      <c r="N53" s="110"/>
      <c r="O53" s="110"/>
      <c r="P53" s="110"/>
      <c r="Q53" s="178"/>
      <c r="R53" s="218"/>
      <c r="S53" s="218"/>
      <c r="T53" s="218"/>
      <c r="U53" s="218"/>
      <c r="V53" s="218"/>
      <c r="W53" s="218">
        <f t="shared" si="10"/>
        <v>0</v>
      </c>
      <c r="X53" s="218"/>
      <c r="Y53" s="513"/>
      <c r="Z53" s="111"/>
      <c r="AA53" s="385"/>
      <c r="AB53" s="404"/>
      <c r="AC53" s="218"/>
      <c r="AD53" s="110"/>
      <c r="AE53" s="218"/>
      <c r="AF53" s="471"/>
      <c r="AG53" s="1002"/>
      <c r="AH53" s="471"/>
      <c r="AI53" s="109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2.75" hidden="1">
      <c r="A54" s="196"/>
      <c r="B54" s="164"/>
      <c r="C54" s="109"/>
      <c r="D54" s="110"/>
      <c r="E54" s="110"/>
      <c r="F54" s="178"/>
      <c r="G54" s="111"/>
      <c r="H54" s="110"/>
      <c r="I54" s="109"/>
      <c r="J54" s="109">
        <f t="shared" si="7"/>
        <v>0</v>
      </c>
      <c r="K54" s="110">
        <f>L54+N54</f>
        <v>0</v>
      </c>
      <c r="L54" s="110"/>
      <c r="M54" s="110"/>
      <c r="N54" s="110"/>
      <c r="O54" s="110"/>
      <c r="P54" s="110"/>
      <c r="Q54" s="178"/>
      <c r="R54" s="218"/>
      <c r="S54" s="218"/>
      <c r="T54" s="218"/>
      <c r="U54" s="218"/>
      <c r="V54" s="218"/>
      <c r="W54" s="218">
        <f t="shared" si="10"/>
        <v>0</v>
      </c>
      <c r="X54" s="218"/>
      <c r="Y54" s="513"/>
      <c r="Z54" s="111"/>
      <c r="AA54" s="385"/>
      <c r="AB54" s="404"/>
      <c r="AC54" s="218"/>
      <c r="AD54" s="110"/>
      <c r="AE54" s="218"/>
      <c r="AF54" s="471"/>
      <c r="AG54" s="1002"/>
      <c r="AH54" s="471"/>
      <c r="AI54" s="109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2.75" hidden="1">
      <c r="A55" s="196"/>
      <c r="B55" s="164"/>
      <c r="C55" s="109"/>
      <c r="D55" s="110"/>
      <c r="E55" s="110"/>
      <c r="F55" s="178"/>
      <c r="G55" s="111"/>
      <c r="H55" s="110"/>
      <c r="I55" s="109"/>
      <c r="J55" s="109">
        <f t="shared" si="7"/>
        <v>0</v>
      </c>
      <c r="K55" s="110"/>
      <c r="L55" s="110"/>
      <c r="M55" s="110"/>
      <c r="N55" s="110"/>
      <c r="O55" s="110"/>
      <c r="P55" s="110"/>
      <c r="Q55" s="178"/>
      <c r="R55" s="218"/>
      <c r="S55" s="218"/>
      <c r="T55" s="218"/>
      <c r="U55" s="218"/>
      <c r="V55" s="218"/>
      <c r="W55" s="218">
        <f t="shared" si="10"/>
        <v>0</v>
      </c>
      <c r="X55" s="218"/>
      <c r="Y55" s="513"/>
      <c r="Z55" s="111"/>
      <c r="AA55" s="385"/>
      <c r="AB55" s="404"/>
      <c r="AC55" s="218"/>
      <c r="AD55" s="110"/>
      <c r="AE55" s="218"/>
      <c r="AF55" s="471"/>
      <c r="AG55" s="1002"/>
      <c r="AH55" s="471"/>
      <c r="AI55" s="109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13.5" hidden="1" thickBot="1">
      <c r="A56" s="97"/>
      <c r="B56" s="164"/>
      <c r="C56" s="109">
        <f t="shared" si="9"/>
        <v>0</v>
      </c>
      <c r="D56" s="110"/>
      <c r="E56" s="110"/>
      <c r="F56" s="178"/>
      <c r="G56" s="111"/>
      <c r="H56" s="110"/>
      <c r="I56" s="109"/>
      <c r="J56" s="109">
        <f t="shared" si="7"/>
        <v>0</v>
      </c>
      <c r="K56" s="110"/>
      <c r="L56" s="110"/>
      <c r="M56" s="110"/>
      <c r="N56" s="110"/>
      <c r="O56" s="110"/>
      <c r="P56" s="110"/>
      <c r="Q56" s="178"/>
      <c r="R56" s="218"/>
      <c r="S56" s="218"/>
      <c r="T56" s="218"/>
      <c r="U56" s="218"/>
      <c r="V56" s="218"/>
      <c r="W56" s="218">
        <f t="shared" si="10"/>
        <v>0</v>
      </c>
      <c r="X56" s="218"/>
      <c r="Y56" s="513"/>
      <c r="Z56" s="111"/>
      <c r="AA56" s="385"/>
      <c r="AB56" s="404"/>
      <c r="AC56" s="218"/>
      <c r="AD56" s="110"/>
      <c r="AE56" s="218"/>
      <c r="AF56" s="471"/>
      <c r="AG56" s="1002"/>
      <c r="AH56" s="471"/>
      <c r="AI56" s="109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6" ht="13.5" thickBot="1">
      <c r="A57" s="116"/>
      <c r="B57" s="34" t="s">
        <v>38</v>
      </c>
      <c r="C57" s="85">
        <f aca="true" t="shared" si="11" ref="C57:I57">SUM(C44:C56)</f>
        <v>27877</v>
      </c>
      <c r="D57" s="85">
        <f t="shared" si="11"/>
        <v>0</v>
      </c>
      <c r="E57" s="85">
        <f t="shared" si="11"/>
        <v>27877</v>
      </c>
      <c r="F57" s="137">
        <f t="shared" si="11"/>
        <v>0</v>
      </c>
      <c r="G57" s="88">
        <f t="shared" si="11"/>
        <v>0</v>
      </c>
      <c r="H57" s="85">
        <f t="shared" si="11"/>
        <v>0</v>
      </c>
      <c r="I57" s="85">
        <f t="shared" si="11"/>
        <v>0</v>
      </c>
      <c r="J57" s="85">
        <f>SUM(J44:J56)+79446</f>
        <v>26083</v>
      </c>
      <c r="K57" s="85">
        <f>SUM(K44:K56)+58419</f>
        <v>1992</v>
      </c>
      <c r="L57" s="85">
        <f>SUM(L44:L56)+58206</f>
        <v>0</v>
      </c>
      <c r="M57" s="85"/>
      <c r="N57" s="85">
        <f>SUM(N44:N56)+213</f>
        <v>1992</v>
      </c>
      <c r="O57" s="85">
        <f>SUM(O44:O56)+19863</f>
        <v>0</v>
      </c>
      <c r="P57" s="85">
        <f>SUM(P44:P56)+1164</f>
        <v>0</v>
      </c>
      <c r="Q57" s="137">
        <f>SUM(Q44:Q56)</f>
        <v>0</v>
      </c>
      <c r="R57" s="87">
        <f>SUM(R44:R56)</f>
        <v>7432</v>
      </c>
      <c r="S57" s="87">
        <f>SUM(S44:S56)</f>
        <v>18651</v>
      </c>
      <c r="T57" s="87">
        <f>SUM(T44:T56)+19244</f>
        <v>20445</v>
      </c>
      <c r="U57" s="87">
        <f>SUM(U44:U56)+19244</f>
        <v>1794</v>
      </c>
      <c r="V57" s="87">
        <f>SUM(V44:V56)</f>
        <v>0</v>
      </c>
      <c r="W57" s="87">
        <f>SUM(W44:W56)+98690</f>
        <v>27877</v>
      </c>
      <c r="X57" s="87">
        <f>SUM(X44:X56)</f>
        <v>0</v>
      </c>
      <c r="Y57" s="175">
        <f>SUM(Y44:Y56)</f>
        <v>0</v>
      </c>
      <c r="Z57" s="94">
        <f>SUM(Z44:Z56)+98690</f>
        <v>27877</v>
      </c>
      <c r="AA57" s="175">
        <f>SUM(AA44:AA56)</f>
        <v>0</v>
      </c>
      <c r="AB57" s="94">
        <f>SUM(AB44:AB56)</f>
        <v>0</v>
      </c>
      <c r="AC57" s="87">
        <f>SUM(AC44:AC56)+58206</f>
        <v>0</v>
      </c>
      <c r="AD57" s="86"/>
      <c r="AE57" s="87"/>
      <c r="AF57" s="117"/>
      <c r="AG57" s="137"/>
      <c r="AH57" s="117">
        <f>SUM(AH44:AH56)</f>
        <v>32797</v>
      </c>
      <c r="AI57" s="85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2.75">
      <c r="A58" s="97">
        <v>3</v>
      </c>
      <c r="B58" s="164" t="s">
        <v>241</v>
      </c>
      <c r="C58" s="105">
        <f aca="true" t="shared" si="12" ref="C58:C70">D58+H58</f>
        <v>0</v>
      </c>
      <c r="D58" s="106"/>
      <c r="E58" s="106"/>
      <c r="F58" s="176"/>
      <c r="G58" s="107"/>
      <c r="H58" s="106"/>
      <c r="I58" s="105"/>
      <c r="J58" s="109">
        <f aca="true" t="shared" si="13" ref="J58:J70">K58+O58+P58+Q58+R58+S58</f>
        <v>5000</v>
      </c>
      <c r="K58" s="106">
        <f>L58+N58</f>
        <v>0</v>
      </c>
      <c r="L58" s="106"/>
      <c r="M58" s="106"/>
      <c r="N58" s="106"/>
      <c r="O58" s="106"/>
      <c r="P58" s="106"/>
      <c r="Q58" s="176"/>
      <c r="R58" s="217"/>
      <c r="S58" s="980">
        <v>5000</v>
      </c>
      <c r="T58" s="217">
        <f>S58+U58</f>
        <v>5000</v>
      </c>
      <c r="U58" s="217"/>
      <c r="V58" s="338"/>
      <c r="W58" s="218">
        <f>J58+U58</f>
        <v>5000</v>
      </c>
      <c r="X58" s="217"/>
      <c r="Y58" s="512"/>
      <c r="Z58" s="1067">
        <v>5000</v>
      </c>
      <c r="AA58" s="384"/>
      <c r="AB58" s="403"/>
      <c r="AC58" s="217"/>
      <c r="AD58" s="106"/>
      <c r="AE58" s="217"/>
      <c r="AF58" s="470"/>
      <c r="AG58" s="1001"/>
      <c r="AH58" s="470"/>
      <c r="AI58" s="105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>
      <c r="A59" s="97">
        <v>3</v>
      </c>
      <c r="B59" s="164" t="s">
        <v>242</v>
      </c>
      <c r="C59" s="109">
        <f t="shared" si="12"/>
        <v>0</v>
      </c>
      <c r="D59" s="119"/>
      <c r="E59" s="119"/>
      <c r="F59" s="213"/>
      <c r="G59" s="120"/>
      <c r="H59" s="119"/>
      <c r="I59" s="118"/>
      <c r="J59" s="109">
        <f t="shared" si="13"/>
        <v>7303</v>
      </c>
      <c r="K59" s="119">
        <f>L59+N59</f>
        <v>0</v>
      </c>
      <c r="L59" s="119"/>
      <c r="M59" s="119"/>
      <c r="N59" s="119"/>
      <c r="O59" s="119"/>
      <c r="P59" s="119"/>
      <c r="Q59" s="213"/>
      <c r="R59" s="447">
        <v>7303</v>
      </c>
      <c r="S59" s="338"/>
      <c r="T59" s="338">
        <f aca="true" t="shared" si="14" ref="T59:T70">S59+U59</f>
        <v>-7303</v>
      </c>
      <c r="U59" s="338">
        <v>-7303</v>
      </c>
      <c r="V59" s="338"/>
      <c r="W59" s="338">
        <f aca="true" t="shared" si="15" ref="W59:W66">J59+U59</f>
        <v>0</v>
      </c>
      <c r="X59" s="338"/>
      <c r="Y59" s="514"/>
      <c r="Z59" s="120"/>
      <c r="AA59" s="386"/>
      <c r="AB59" s="405"/>
      <c r="AC59" s="338"/>
      <c r="AD59" s="119"/>
      <c r="AE59" s="338"/>
      <c r="AF59" s="472"/>
      <c r="AG59" s="1003"/>
      <c r="AH59" s="472"/>
      <c r="AI59" s="118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.75">
      <c r="A60" s="97">
        <v>3</v>
      </c>
      <c r="B60" s="164" t="s">
        <v>247</v>
      </c>
      <c r="C60" s="109">
        <f t="shared" si="12"/>
        <v>0</v>
      </c>
      <c r="D60" s="119"/>
      <c r="E60" s="119"/>
      <c r="F60" s="213"/>
      <c r="G60" s="120"/>
      <c r="H60" s="119"/>
      <c r="I60" s="118"/>
      <c r="J60" s="109">
        <f t="shared" si="13"/>
        <v>0</v>
      </c>
      <c r="K60" s="119">
        <v>2500</v>
      </c>
      <c r="L60" s="119"/>
      <c r="M60" s="119"/>
      <c r="N60" s="119">
        <v>2500</v>
      </c>
      <c r="O60" s="119"/>
      <c r="P60" s="119"/>
      <c r="Q60" s="213"/>
      <c r="R60" s="447">
        <v>-2500</v>
      </c>
      <c r="S60" s="338"/>
      <c r="T60" s="338">
        <f t="shared" si="14"/>
        <v>0</v>
      </c>
      <c r="U60" s="338"/>
      <c r="V60" s="338"/>
      <c r="W60" s="218">
        <f t="shared" si="15"/>
        <v>0</v>
      </c>
      <c r="X60" s="338"/>
      <c r="Y60" s="514"/>
      <c r="Z60" s="120"/>
      <c r="AA60" s="386"/>
      <c r="AB60" s="405"/>
      <c r="AC60" s="338"/>
      <c r="AD60" s="119"/>
      <c r="AE60" s="338"/>
      <c r="AF60" s="472"/>
      <c r="AG60" s="1003"/>
      <c r="AH60" s="472"/>
      <c r="AI60" s="118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.75">
      <c r="A61" s="97">
        <v>3</v>
      </c>
      <c r="B61" s="164" t="s">
        <v>250</v>
      </c>
      <c r="C61" s="109">
        <f>D61+H61</f>
        <v>0</v>
      </c>
      <c r="D61" s="119"/>
      <c r="E61" s="119"/>
      <c r="F61" s="213"/>
      <c r="G61" s="120"/>
      <c r="H61" s="119"/>
      <c r="I61" s="118"/>
      <c r="J61" s="109">
        <f t="shared" si="13"/>
        <v>5000</v>
      </c>
      <c r="K61" s="119">
        <f>L61+N61</f>
        <v>0</v>
      </c>
      <c r="L61" s="119"/>
      <c r="M61" s="119"/>
      <c r="N61" s="119"/>
      <c r="O61" s="119"/>
      <c r="P61" s="119"/>
      <c r="Q61" s="213"/>
      <c r="R61" s="447">
        <v>5000</v>
      </c>
      <c r="S61" s="338"/>
      <c r="T61" s="338">
        <f>S61+U61</f>
        <v>0</v>
      </c>
      <c r="U61" s="338"/>
      <c r="V61" s="338"/>
      <c r="W61" s="218">
        <f>J61+U61</f>
        <v>5000</v>
      </c>
      <c r="X61" s="338"/>
      <c r="Y61" s="514"/>
      <c r="Z61" s="446">
        <v>5000</v>
      </c>
      <c r="AA61" s="386"/>
      <c r="AB61" s="405"/>
      <c r="AC61" s="338"/>
      <c r="AD61" s="119"/>
      <c r="AE61" s="338"/>
      <c r="AF61" s="472"/>
      <c r="AG61" s="1003"/>
      <c r="AH61" s="472"/>
      <c r="AI61" s="118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3.5" thickBot="1">
      <c r="A62" s="1055">
        <v>1</v>
      </c>
      <c r="B62" s="938" t="s">
        <v>253</v>
      </c>
      <c r="C62" s="109">
        <f>D62+H62</f>
        <v>0</v>
      </c>
      <c r="D62" s="119"/>
      <c r="E62" s="119"/>
      <c r="F62" s="213"/>
      <c r="G62" s="120"/>
      <c r="H62" s="119"/>
      <c r="I62" s="118"/>
      <c r="J62" s="1025">
        <f t="shared" si="13"/>
        <v>4145</v>
      </c>
      <c r="K62" s="119">
        <f aca="true" t="shared" si="16" ref="K62:K70">L62+N62</f>
        <v>0</v>
      </c>
      <c r="L62" s="119"/>
      <c r="M62" s="119"/>
      <c r="N62" s="119"/>
      <c r="O62" s="119"/>
      <c r="P62" s="119"/>
      <c r="Q62" s="213"/>
      <c r="R62" s="338"/>
      <c r="S62" s="685">
        <v>4145</v>
      </c>
      <c r="T62" s="1019">
        <f>S62+U62</f>
        <v>0</v>
      </c>
      <c r="U62" s="1019">
        <v>-4145</v>
      </c>
      <c r="V62" s="1019"/>
      <c r="W62" s="951">
        <f>J62+U62</f>
        <v>0</v>
      </c>
      <c r="X62" s="338"/>
      <c r="Y62" s="514"/>
      <c r="Z62" s="120"/>
      <c r="AA62" s="386"/>
      <c r="AB62" s="405"/>
      <c r="AC62" s="338"/>
      <c r="AD62" s="119"/>
      <c r="AE62" s="338"/>
      <c r="AF62" s="472"/>
      <c r="AG62" s="1003"/>
      <c r="AH62" s="472"/>
      <c r="AI62" s="118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.75" hidden="1">
      <c r="A63" s="97"/>
      <c r="B63" s="182"/>
      <c r="C63" s="109">
        <f>D63+H63</f>
        <v>0</v>
      </c>
      <c r="D63" s="119"/>
      <c r="E63" s="119"/>
      <c r="F63" s="213"/>
      <c r="G63" s="120"/>
      <c r="H63" s="119"/>
      <c r="I63" s="118"/>
      <c r="J63" s="109">
        <f t="shared" si="13"/>
        <v>0</v>
      </c>
      <c r="K63" s="119">
        <f t="shared" si="16"/>
        <v>0</v>
      </c>
      <c r="L63" s="119"/>
      <c r="M63" s="119"/>
      <c r="N63" s="119"/>
      <c r="O63" s="119"/>
      <c r="P63" s="119"/>
      <c r="Q63" s="213"/>
      <c r="R63" s="338"/>
      <c r="S63" s="338"/>
      <c r="T63" s="338">
        <f>S63+U63</f>
        <v>0</v>
      </c>
      <c r="U63" s="338"/>
      <c r="V63" s="338"/>
      <c r="W63" s="218">
        <f>J63+U63</f>
        <v>0</v>
      </c>
      <c r="X63" s="338"/>
      <c r="Y63" s="514"/>
      <c r="Z63" s="120"/>
      <c r="AA63" s="386"/>
      <c r="AB63" s="405"/>
      <c r="AC63" s="338"/>
      <c r="AD63" s="119"/>
      <c r="AE63" s="338"/>
      <c r="AF63" s="472"/>
      <c r="AG63" s="1003"/>
      <c r="AH63" s="472"/>
      <c r="AI63" s="118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 hidden="1">
      <c r="A64" s="97"/>
      <c r="B64" s="182"/>
      <c r="C64" s="109">
        <f>D64+H64</f>
        <v>0</v>
      </c>
      <c r="D64" s="119"/>
      <c r="E64" s="119"/>
      <c r="F64" s="213"/>
      <c r="G64" s="120"/>
      <c r="H64" s="119"/>
      <c r="I64" s="118"/>
      <c r="J64" s="109">
        <f t="shared" si="13"/>
        <v>0</v>
      </c>
      <c r="K64" s="119">
        <f t="shared" si="16"/>
        <v>0</v>
      </c>
      <c r="L64" s="119"/>
      <c r="M64" s="119"/>
      <c r="N64" s="119"/>
      <c r="O64" s="119"/>
      <c r="P64" s="119"/>
      <c r="Q64" s="213"/>
      <c r="R64" s="338"/>
      <c r="S64" s="338"/>
      <c r="T64" s="338">
        <f>S64+U64</f>
        <v>0</v>
      </c>
      <c r="U64" s="338"/>
      <c r="V64" s="338"/>
      <c r="W64" s="218">
        <f>J64+U64</f>
        <v>0</v>
      </c>
      <c r="X64" s="338"/>
      <c r="Y64" s="514"/>
      <c r="Z64" s="120"/>
      <c r="AA64" s="386"/>
      <c r="AB64" s="405"/>
      <c r="AC64" s="338"/>
      <c r="AD64" s="119"/>
      <c r="AE64" s="338"/>
      <c r="AF64" s="472"/>
      <c r="AG64" s="1003"/>
      <c r="AH64" s="472"/>
      <c r="AI64" s="118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 hidden="1">
      <c r="A65" s="97"/>
      <c r="B65" s="182"/>
      <c r="C65" s="109">
        <f t="shared" si="12"/>
        <v>0</v>
      </c>
      <c r="D65" s="119"/>
      <c r="E65" s="119"/>
      <c r="F65" s="213"/>
      <c r="G65" s="120"/>
      <c r="H65" s="119"/>
      <c r="I65" s="118"/>
      <c r="J65" s="109">
        <f t="shared" si="13"/>
        <v>0</v>
      </c>
      <c r="K65" s="119">
        <f t="shared" si="16"/>
        <v>0</v>
      </c>
      <c r="L65" s="119"/>
      <c r="M65" s="119"/>
      <c r="N65" s="119"/>
      <c r="O65" s="119"/>
      <c r="P65" s="119"/>
      <c r="Q65" s="213"/>
      <c r="R65" s="338"/>
      <c r="S65" s="338"/>
      <c r="T65" s="338">
        <f t="shared" si="14"/>
        <v>0</v>
      </c>
      <c r="U65" s="338"/>
      <c r="V65" s="338"/>
      <c r="W65" s="218">
        <f t="shared" si="15"/>
        <v>0</v>
      </c>
      <c r="X65" s="338"/>
      <c r="Y65" s="514"/>
      <c r="Z65" s="120"/>
      <c r="AA65" s="387"/>
      <c r="AB65" s="406"/>
      <c r="AC65" s="338"/>
      <c r="AD65" s="119"/>
      <c r="AE65" s="338"/>
      <c r="AF65" s="473"/>
      <c r="AG65" s="1004"/>
      <c r="AH65" s="473"/>
      <c r="AI65" s="1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 hidden="1">
      <c r="A66" s="97"/>
      <c r="B66" s="182"/>
      <c r="C66" s="109">
        <f t="shared" si="12"/>
        <v>0</v>
      </c>
      <c r="D66" s="119"/>
      <c r="E66" s="119"/>
      <c r="F66" s="213"/>
      <c r="G66" s="120"/>
      <c r="H66" s="119"/>
      <c r="I66" s="118"/>
      <c r="J66" s="109">
        <f t="shared" si="13"/>
        <v>0</v>
      </c>
      <c r="K66" s="119">
        <f t="shared" si="16"/>
        <v>0</v>
      </c>
      <c r="L66" s="119"/>
      <c r="M66" s="119"/>
      <c r="N66" s="119"/>
      <c r="O66" s="119"/>
      <c r="P66" s="119"/>
      <c r="Q66" s="213"/>
      <c r="R66" s="338"/>
      <c r="S66" s="338"/>
      <c r="T66" s="338">
        <f t="shared" si="14"/>
        <v>0</v>
      </c>
      <c r="U66" s="338"/>
      <c r="V66" s="338"/>
      <c r="W66" s="218">
        <f t="shared" si="15"/>
        <v>0</v>
      </c>
      <c r="X66" s="338"/>
      <c r="Y66" s="514"/>
      <c r="Z66" s="120"/>
      <c r="AA66" s="386"/>
      <c r="AB66" s="405"/>
      <c r="AC66" s="338"/>
      <c r="AD66" s="119"/>
      <c r="AE66" s="338"/>
      <c r="AF66" s="472"/>
      <c r="AG66" s="1003"/>
      <c r="AH66" s="472"/>
      <c r="AI66" s="118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2.75" hidden="1">
      <c r="A67" s="97"/>
      <c r="B67" s="182"/>
      <c r="C67" s="109">
        <f t="shared" si="12"/>
        <v>0</v>
      </c>
      <c r="D67" s="110"/>
      <c r="E67" s="110"/>
      <c r="F67" s="178"/>
      <c r="G67" s="111"/>
      <c r="H67" s="110"/>
      <c r="I67" s="109"/>
      <c r="J67" s="109">
        <f t="shared" si="13"/>
        <v>0</v>
      </c>
      <c r="K67" s="119">
        <f t="shared" si="16"/>
        <v>0</v>
      </c>
      <c r="L67" s="119"/>
      <c r="M67" s="119"/>
      <c r="N67" s="119"/>
      <c r="O67" s="110"/>
      <c r="P67" s="110"/>
      <c r="Q67" s="178"/>
      <c r="R67" s="218"/>
      <c r="S67" s="218"/>
      <c r="T67" s="218">
        <f t="shared" si="14"/>
        <v>0</v>
      </c>
      <c r="U67" s="218"/>
      <c r="V67" s="218"/>
      <c r="W67" s="218">
        <f>J67+U67</f>
        <v>0</v>
      </c>
      <c r="X67" s="218"/>
      <c r="Y67" s="513"/>
      <c r="Z67" s="111"/>
      <c r="AA67" s="385"/>
      <c r="AB67" s="404"/>
      <c r="AC67" s="218"/>
      <c r="AD67" s="110"/>
      <c r="AE67" s="218"/>
      <c r="AF67" s="471"/>
      <c r="AG67" s="1002"/>
      <c r="AH67" s="471"/>
      <c r="AI67" s="109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 hidden="1">
      <c r="A68" s="97"/>
      <c r="B68" s="182"/>
      <c r="C68" s="109">
        <f t="shared" si="12"/>
        <v>0</v>
      </c>
      <c r="D68" s="110"/>
      <c r="E68" s="110"/>
      <c r="F68" s="178"/>
      <c r="G68" s="111"/>
      <c r="H68" s="110"/>
      <c r="I68" s="109"/>
      <c r="J68" s="109">
        <f t="shared" si="13"/>
        <v>0</v>
      </c>
      <c r="K68" s="119">
        <f t="shared" si="16"/>
        <v>0</v>
      </c>
      <c r="L68" s="119"/>
      <c r="M68" s="119"/>
      <c r="N68" s="119"/>
      <c r="O68" s="110"/>
      <c r="P68" s="110"/>
      <c r="Q68" s="178"/>
      <c r="R68" s="218"/>
      <c r="S68" s="218"/>
      <c r="T68" s="218">
        <f t="shared" si="14"/>
        <v>0</v>
      </c>
      <c r="U68" s="218"/>
      <c r="V68" s="218"/>
      <c r="W68" s="218">
        <f>J68+U68</f>
        <v>0</v>
      </c>
      <c r="X68" s="218"/>
      <c r="Y68" s="513"/>
      <c r="Z68" s="111"/>
      <c r="AA68" s="385"/>
      <c r="AB68" s="404"/>
      <c r="AC68" s="218"/>
      <c r="AD68" s="110"/>
      <c r="AE68" s="218"/>
      <c r="AF68" s="471"/>
      <c r="AG68" s="1002"/>
      <c r="AH68" s="471"/>
      <c r="AI68" s="109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 hidden="1">
      <c r="A69" s="97"/>
      <c r="B69" s="182"/>
      <c r="C69" s="183"/>
      <c r="D69" s="184"/>
      <c r="E69" s="184"/>
      <c r="F69" s="180"/>
      <c r="G69" s="186"/>
      <c r="H69" s="184"/>
      <c r="I69" s="183"/>
      <c r="J69" s="183">
        <f t="shared" si="13"/>
        <v>0</v>
      </c>
      <c r="K69" s="119">
        <f t="shared" si="16"/>
        <v>0</v>
      </c>
      <c r="L69" s="119"/>
      <c r="M69" s="119"/>
      <c r="N69" s="119"/>
      <c r="O69" s="184"/>
      <c r="P69" s="184"/>
      <c r="Q69" s="180"/>
      <c r="R69" s="342"/>
      <c r="S69" s="342"/>
      <c r="T69" s="342">
        <f>U69+S69</f>
        <v>0</v>
      </c>
      <c r="U69" s="342"/>
      <c r="V69" s="342"/>
      <c r="W69" s="342">
        <f>J69+U69</f>
        <v>0</v>
      </c>
      <c r="X69" s="342"/>
      <c r="Y69" s="515"/>
      <c r="Z69" s="186"/>
      <c r="AA69" s="388"/>
      <c r="AB69" s="407"/>
      <c r="AC69" s="342"/>
      <c r="AD69" s="184"/>
      <c r="AE69" s="342"/>
      <c r="AF69" s="474"/>
      <c r="AG69" s="1005"/>
      <c r="AH69" s="474"/>
      <c r="AI69" s="183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3.5" hidden="1" thickBot="1">
      <c r="A70" s="97"/>
      <c r="B70" s="182"/>
      <c r="C70" s="183">
        <f t="shared" si="12"/>
        <v>0</v>
      </c>
      <c r="D70" s="184"/>
      <c r="E70" s="184"/>
      <c r="F70" s="180"/>
      <c r="G70" s="186"/>
      <c r="H70" s="184"/>
      <c r="I70" s="183"/>
      <c r="J70" s="183">
        <f t="shared" si="13"/>
        <v>0</v>
      </c>
      <c r="K70" s="185">
        <f t="shared" si="16"/>
        <v>0</v>
      </c>
      <c r="L70" s="185"/>
      <c r="M70" s="185"/>
      <c r="N70" s="185"/>
      <c r="O70" s="184"/>
      <c r="P70" s="184"/>
      <c r="Q70" s="180"/>
      <c r="R70" s="342"/>
      <c r="S70" s="342"/>
      <c r="T70" s="342">
        <f t="shared" si="14"/>
        <v>0</v>
      </c>
      <c r="U70" s="342"/>
      <c r="V70" s="342"/>
      <c r="W70" s="342">
        <f>J70+U70</f>
        <v>0</v>
      </c>
      <c r="X70" s="342"/>
      <c r="Y70" s="515"/>
      <c r="Z70" s="186"/>
      <c r="AA70" s="388"/>
      <c r="AB70" s="407"/>
      <c r="AC70" s="342"/>
      <c r="AD70" s="184"/>
      <c r="AE70" s="342"/>
      <c r="AF70" s="474"/>
      <c r="AG70" s="1005"/>
      <c r="AH70" s="474"/>
      <c r="AI70" s="183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3.5" thickBot="1">
      <c r="A71" s="116"/>
      <c r="B71" s="34" t="s">
        <v>39</v>
      </c>
      <c r="C71" s="85">
        <f aca="true" t="shared" si="17" ref="C71:X71">SUM(C58:C70)</f>
        <v>0</v>
      </c>
      <c r="D71" s="85">
        <f t="shared" si="17"/>
        <v>0</v>
      </c>
      <c r="E71" s="85">
        <f>SUM(E58:E70)</f>
        <v>0</v>
      </c>
      <c r="F71" s="137">
        <f>SUM(F58:F70)</f>
        <v>0</v>
      </c>
      <c r="G71" s="88">
        <f>SUM(G58:G70)</f>
        <v>0</v>
      </c>
      <c r="H71" s="85">
        <f t="shared" si="17"/>
        <v>0</v>
      </c>
      <c r="I71" s="85">
        <f t="shared" si="17"/>
        <v>0</v>
      </c>
      <c r="J71" s="85">
        <f t="shared" si="17"/>
        <v>21448</v>
      </c>
      <c r="K71" s="85">
        <f t="shared" si="17"/>
        <v>2500</v>
      </c>
      <c r="L71" s="85">
        <f t="shared" si="17"/>
        <v>0</v>
      </c>
      <c r="M71" s="85"/>
      <c r="N71" s="85">
        <f t="shared" si="17"/>
        <v>2500</v>
      </c>
      <c r="O71" s="85">
        <f t="shared" si="17"/>
        <v>0</v>
      </c>
      <c r="P71" s="85">
        <f t="shared" si="17"/>
        <v>0</v>
      </c>
      <c r="Q71" s="137">
        <f t="shared" si="17"/>
        <v>0</v>
      </c>
      <c r="R71" s="87">
        <f t="shared" si="17"/>
        <v>9803</v>
      </c>
      <c r="S71" s="87">
        <f t="shared" si="17"/>
        <v>9145</v>
      </c>
      <c r="T71" s="87">
        <f t="shared" si="17"/>
        <v>-2303</v>
      </c>
      <c r="U71" s="87">
        <f t="shared" si="17"/>
        <v>-11448</v>
      </c>
      <c r="V71" s="87">
        <f t="shared" si="17"/>
        <v>0</v>
      </c>
      <c r="W71" s="87">
        <f t="shared" si="17"/>
        <v>10000</v>
      </c>
      <c r="X71" s="87">
        <f t="shared" si="17"/>
        <v>0</v>
      </c>
      <c r="Y71" s="175">
        <f>SUM(Y58:Y70)</f>
        <v>0</v>
      </c>
      <c r="Z71" s="94">
        <f>SUM(Z58:Z70)</f>
        <v>10000</v>
      </c>
      <c r="AA71" s="175">
        <f>SUM(AA58:AA70)</f>
        <v>0</v>
      </c>
      <c r="AB71" s="94">
        <f>SUM(AB58:AB70)</f>
        <v>0</v>
      </c>
      <c r="AC71" s="87">
        <f>SUM(AC58:AC70)</f>
        <v>0</v>
      </c>
      <c r="AD71" s="86"/>
      <c r="AE71" s="87"/>
      <c r="AF71" s="117"/>
      <c r="AG71" s="137"/>
      <c r="AH71" s="117">
        <f>SUM(AH58:AH70)</f>
        <v>0</v>
      </c>
      <c r="AI71" s="85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5" ht="13.5" thickBot="1">
      <c r="A72" s="2"/>
      <c r="B72" s="43" t="s">
        <v>40</v>
      </c>
      <c r="C72" s="89">
        <f aca="true" t="shared" si="18" ref="C72:X72">C29+C43+C57+C71</f>
        <v>27877</v>
      </c>
      <c r="D72" s="136">
        <f t="shared" si="18"/>
        <v>0</v>
      </c>
      <c r="E72" s="136">
        <f t="shared" si="18"/>
        <v>27877</v>
      </c>
      <c r="F72" s="136">
        <f t="shared" si="18"/>
        <v>0</v>
      </c>
      <c r="G72" s="322">
        <f t="shared" si="18"/>
        <v>0</v>
      </c>
      <c r="H72" s="140">
        <f t="shared" si="18"/>
        <v>0</v>
      </c>
      <c r="I72" s="89">
        <f t="shared" si="18"/>
        <v>0</v>
      </c>
      <c r="J72" s="89">
        <f>K72+O72+P72+Q72+R72+S72-1992</f>
        <v>106962</v>
      </c>
      <c r="K72" s="89">
        <f t="shared" si="18"/>
        <v>3723</v>
      </c>
      <c r="L72" s="136">
        <f t="shared" si="18"/>
        <v>-769</v>
      </c>
      <c r="M72" s="136"/>
      <c r="N72" s="140">
        <f t="shared" si="18"/>
        <v>4492</v>
      </c>
      <c r="O72" s="140">
        <f t="shared" si="18"/>
        <v>-261</v>
      </c>
      <c r="P72" s="140">
        <f t="shared" si="18"/>
        <v>-15</v>
      </c>
      <c r="Q72" s="214">
        <f t="shared" si="18"/>
        <v>0</v>
      </c>
      <c r="R72" s="345">
        <f t="shared" si="18"/>
        <v>77827</v>
      </c>
      <c r="S72" s="345">
        <f t="shared" si="18"/>
        <v>27680</v>
      </c>
      <c r="T72" s="345">
        <f t="shared" si="18"/>
        <v>-14566</v>
      </c>
      <c r="U72" s="140">
        <f t="shared" si="18"/>
        <v>-42246</v>
      </c>
      <c r="V72" s="140">
        <f t="shared" si="18"/>
        <v>0</v>
      </c>
      <c r="W72" s="345">
        <f t="shared" si="18"/>
        <v>64716</v>
      </c>
      <c r="X72" s="345">
        <f t="shared" si="18"/>
        <v>0</v>
      </c>
      <c r="Y72" s="389">
        <f>Y29+Y43+Y57+Y71</f>
        <v>0</v>
      </c>
      <c r="Z72" s="344">
        <f>Z29+Z43+Z57+Z71</f>
        <v>64716</v>
      </c>
      <c r="AA72" s="389">
        <f>AA29+AA43+AA57+AA71</f>
        <v>0</v>
      </c>
      <c r="AB72" s="344">
        <f>AB29+AB43+AB57+AB71</f>
        <v>-769</v>
      </c>
      <c r="AC72" s="345">
        <f aca="true" t="shared" si="19" ref="AC72:AI72">AC29+AC43+AC57+AC71</f>
        <v>0</v>
      </c>
      <c r="AD72" s="466">
        <f t="shared" si="19"/>
        <v>0</v>
      </c>
      <c r="AE72" s="345">
        <f t="shared" si="19"/>
        <v>0</v>
      </c>
      <c r="AF72" s="346">
        <f t="shared" si="19"/>
        <v>0</v>
      </c>
      <c r="AG72" s="136">
        <f t="shared" si="19"/>
        <v>0</v>
      </c>
      <c r="AH72" s="346">
        <f t="shared" si="19"/>
        <v>32797</v>
      </c>
      <c r="AI72" s="89">
        <f t="shared" si="19"/>
        <v>0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3.5" thickBot="1">
      <c r="A73" s="32"/>
      <c r="B73" s="265" t="s">
        <v>227</v>
      </c>
      <c r="C73" s="266">
        <f aca="true" t="shared" si="20" ref="C73:AI73">C15+C72</f>
        <v>1439266</v>
      </c>
      <c r="D73" s="267">
        <f t="shared" si="20"/>
        <v>838057</v>
      </c>
      <c r="E73" s="434">
        <f t="shared" si="20"/>
        <v>27877</v>
      </c>
      <c r="F73" s="434">
        <f t="shared" si="20"/>
        <v>0</v>
      </c>
      <c r="G73" s="434">
        <f t="shared" si="20"/>
        <v>2400</v>
      </c>
      <c r="H73" s="268">
        <f t="shared" si="20"/>
        <v>570932</v>
      </c>
      <c r="I73" s="269">
        <f t="shared" si="20"/>
        <v>510437</v>
      </c>
      <c r="J73" s="266">
        <f t="shared" si="20"/>
        <v>4416124</v>
      </c>
      <c r="K73" s="266">
        <f t="shared" si="20"/>
        <v>2364099</v>
      </c>
      <c r="L73" s="270">
        <f t="shared" si="20"/>
        <v>2350987</v>
      </c>
      <c r="M73" s="271">
        <f t="shared" si="20"/>
        <v>0</v>
      </c>
      <c r="N73" s="268">
        <f t="shared" si="20"/>
        <v>13112</v>
      </c>
      <c r="O73" s="268">
        <f t="shared" si="20"/>
        <v>802267</v>
      </c>
      <c r="P73" s="268">
        <f t="shared" si="20"/>
        <v>47020</v>
      </c>
      <c r="Q73" s="524">
        <f t="shared" si="20"/>
        <v>514710</v>
      </c>
      <c r="R73" s="268">
        <f t="shared" si="20"/>
        <v>505632</v>
      </c>
      <c r="S73" s="268">
        <f t="shared" si="20"/>
        <v>184388</v>
      </c>
      <c r="T73" s="348">
        <f t="shared" si="20"/>
        <v>367912</v>
      </c>
      <c r="U73" s="348">
        <f t="shared" si="20"/>
        <v>183524</v>
      </c>
      <c r="V73" s="348">
        <f t="shared" si="20"/>
        <v>0</v>
      </c>
      <c r="W73" s="348">
        <f t="shared" si="20"/>
        <v>4599648</v>
      </c>
      <c r="X73" s="348">
        <f t="shared" si="20"/>
        <v>0</v>
      </c>
      <c r="Y73" s="390">
        <f t="shared" si="20"/>
        <v>0</v>
      </c>
      <c r="Z73" s="916">
        <f t="shared" si="20"/>
        <v>4599648</v>
      </c>
      <c r="AA73" s="390">
        <f t="shared" si="20"/>
        <v>0</v>
      </c>
      <c r="AB73" s="347">
        <f t="shared" si="20"/>
        <v>468139</v>
      </c>
      <c r="AC73" s="348">
        <f t="shared" si="20"/>
        <v>1882848</v>
      </c>
      <c r="AD73" s="502">
        <f t="shared" si="20"/>
        <v>0</v>
      </c>
      <c r="AE73" s="424">
        <f t="shared" si="20"/>
        <v>0</v>
      </c>
      <c r="AF73" s="349">
        <f t="shared" si="20"/>
        <v>0</v>
      </c>
      <c r="AG73" s="502">
        <f t="shared" si="20"/>
        <v>0</v>
      </c>
      <c r="AH73" s="349">
        <f t="shared" si="20"/>
        <v>32797</v>
      </c>
      <c r="AI73" s="269">
        <f t="shared" si="20"/>
        <v>0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3.5" thickBot="1">
      <c r="A74" s="529"/>
      <c r="B74" s="530"/>
      <c r="C74" s="531"/>
      <c r="D74" s="556">
        <f>D15+E15+F15</f>
        <v>838057</v>
      </c>
      <c r="E74" s="531"/>
      <c r="F74" s="531"/>
      <c r="G74" s="708">
        <f>G15+H15</f>
        <v>573332</v>
      </c>
      <c r="H74" s="531"/>
      <c r="I74" s="531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2"/>
      <c r="AC74" s="532"/>
      <c r="AD74" s="532"/>
      <c r="AE74" s="532"/>
      <c r="AF74" s="532"/>
      <c r="AG74" s="532"/>
      <c r="AH74" s="532"/>
      <c r="AI74" s="532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2.75">
      <c r="A75" s="846"/>
      <c r="B75" s="838" t="s">
        <v>186</v>
      </c>
      <c r="C75" s="839"/>
      <c r="D75" s="848"/>
      <c r="E75" s="848"/>
      <c r="F75" s="848"/>
      <c r="G75" s="848"/>
      <c r="H75" s="848"/>
      <c r="I75" s="848"/>
      <c r="J75" s="839">
        <f>J73+J18+J46</f>
        <v>4275354</v>
      </c>
      <c r="K75" s="839">
        <f aca="true" t="shared" si="21" ref="K75:AC75">K73+K18+K46</f>
        <v>2282076</v>
      </c>
      <c r="L75" s="839">
        <f t="shared" si="21"/>
        <v>2269263</v>
      </c>
      <c r="M75" s="839">
        <f t="shared" si="21"/>
        <v>0</v>
      </c>
      <c r="N75" s="839">
        <f t="shared" si="21"/>
        <v>12813</v>
      </c>
      <c r="O75" s="839">
        <f t="shared" si="21"/>
        <v>774379</v>
      </c>
      <c r="P75" s="839">
        <f t="shared" si="21"/>
        <v>45386</v>
      </c>
      <c r="Q75" s="839">
        <f t="shared" si="21"/>
        <v>514710</v>
      </c>
      <c r="R75" s="839">
        <f t="shared" si="21"/>
        <v>484242</v>
      </c>
      <c r="S75" s="839">
        <f t="shared" si="21"/>
        <v>176553</v>
      </c>
      <c r="T75" s="839">
        <f t="shared" si="21"/>
        <v>329544</v>
      </c>
      <c r="U75" s="839">
        <f t="shared" si="21"/>
        <v>152991</v>
      </c>
      <c r="V75" s="839">
        <f t="shared" si="21"/>
        <v>0</v>
      </c>
      <c r="W75" s="839">
        <f t="shared" si="21"/>
        <v>4428345</v>
      </c>
      <c r="X75" s="839">
        <f t="shared" si="21"/>
        <v>0</v>
      </c>
      <c r="Y75" s="839">
        <f t="shared" si="21"/>
        <v>0</v>
      </c>
      <c r="Z75" s="839">
        <f t="shared" si="21"/>
        <v>4428345</v>
      </c>
      <c r="AA75" s="839">
        <f t="shared" si="21"/>
        <v>0</v>
      </c>
      <c r="AB75" s="842">
        <f t="shared" si="21"/>
        <v>463450</v>
      </c>
      <c r="AC75" s="842">
        <f t="shared" si="21"/>
        <v>1805813</v>
      </c>
      <c r="AD75" s="847"/>
      <c r="AE75" s="847"/>
      <c r="AF75" s="847"/>
      <c r="AG75" s="847"/>
      <c r="AH75" s="847"/>
      <c r="AI75" s="847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2.75">
      <c r="A76" s="533"/>
      <c r="B76" s="843"/>
      <c r="C76" s="844"/>
      <c r="D76" s="844"/>
      <c r="E76" s="844"/>
      <c r="F76" s="844"/>
      <c r="G76" s="844"/>
      <c r="H76" s="844"/>
      <c r="I76" s="844"/>
      <c r="J76" s="844"/>
      <c r="K76" s="844"/>
      <c r="L76" s="844"/>
      <c r="M76" s="844"/>
      <c r="N76" s="844"/>
      <c r="O76" s="844"/>
      <c r="P76" s="844"/>
      <c r="Q76" s="844"/>
      <c r="R76" s="844"/>
      <c r="S76" s="844"/>
      <c r="T76" s="844"/>
      <c r="U76" s="844"/>
      <c r="V76" s="844"/>
      <c r="W76" s="844"/>
      <c r="X76" s="844"/>
      <c r="Y76" s="844"/>
      <c r="Z76" s="844"/>
      <c r="AA76" s="845"/>
      <c r="AB76" s="845"/>
      <c r="AC76" s="845"/>
      <c r="AD76" s="534"/>
      <c r="AE76" s="534"/>
      <c r="AF76" s="534"/>
      <c r="AG76" s="534"/>
      <c r="AH76" s="534"/>
      <c r="AI76" s="53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2.75">
      <c r="A77" s="51">
        <v>1</v>
      </c>
      <c r="B77" s="52" t="s">
        <v>19</v>
      </c>
      <c r="C77" s="70">
        <f>D77+E77+F77+G77+H77</f>
        <v>0</v>
      </c>
      <c r="D77" s="71">
        <v>0</v>
      </c>
      <c r="E77" s="71"/>
      <c r="F77" s="71">
        <v>0</v>
      </c>
      <c r="G77" s="71"/>
      <c r="H77" s="71">
        <v>0</v>
      </c>
      <c r="I77" s="72">
        <v>0</v>
      </c>
      <c r="J77" s="70">
        <f>K77+O77+P77+Q77+R77+S77</f>
        <v>20804</v>
      </c>
      <c r="K77" s="71">
        <f>L77+N77</f>
        <v>0</v>
      </c>
      <c r="L77" s="71">
        <f>L23</f>
        <v>0</v>
      </c>
      <c r="M77" s="71"/>
      <c r="N77" s="71">
        <f>N20</f>
        <v>0</v>
      </c>
      <c r="O77" s="71">
        <f>O23</f>
        <v>0</v>
      </c>
      <c r="P77" s="71">
        <f>P23</f>
        <v>0</v>
      </c>
      <c r="Q77" s="71">
        <f>Q20</f>
        <v>0</v>
      </c>
      <c r="R77" s="71">
        <v>0</v>
      </c>
      <c r="S77" s="71">
        <f>S45+S62</f>
        <v>20804</v>
      </c>
      <c r="T77" s="95">
        <f>S77+U77</f>
        <v>0</v>
      </c>
      <c r="U77" s="150">
        <f>U45+U62</f>
        <v>-20804</v>
      </c>
      <c r="V77" s="72">
        <v>0</v>
      </c>
      <c r="W77" s="323">
        <f>J77+U77+V77</f>
        <v>0</v>
      </c>
      <c r="X77" s="95">
        <v>0</v>
      </c>
      <c r="Y77" s="150">
        <f>Y30</f>
        <v>0</v>
      </c>
      <c r="Z77" s="150">
        <v>0</v>
      </c>
      <c r="AA77" s="394">
        <v>0</v>
      </c>
      <c r="AB77" s="409">
        <v>0</v>
      </c>
      <c r="AC77" s="287">
        <v>0</v>
      </c>
      <c r="AD77" s="287">
        <v>0</v>
      </c>
      <c r="AE77" s="287">
        <v>0</v>
      </c>
      <c r="AF77" s="287">
        <v>0</v>
      </c>
      <c r="AG77" s="287">
        <v>0</v>
      </c>
      <c r="AH77" s="287">
        <v>0</v>
      </c>
      <c r="AI77" s="357">
        <v>0</v>
      </c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2.75">
      <c r="A78" s="49">
        <v>3</v>
      </c>
      <c r="B78" s="46" t="s">
        <v>19</v>
      </c>
      <c r="C78" s="65">
        <f>D78+E78+F78+G78+H78</f>
        <v>27877</v>
      </c>
      <c r="D78" s="68">
        <v>0</v>
      </c>
      <c r="E78" s="68">
        <f>E47</f>
        <v>27877</v>
      </c>
      <c r="F78" s="68">
        <v>0</v>
      </c>
      <c r="G78" s="68"/>
      <c r="H78" s="68">
        <v>0</v>
      </c>
      <c r="I78" s="74">
        <v>0</v>
      </c>
      <c r="J78" s="73">
        <f>K78+O78+P78+Q78+R78+S78-1992</f>
        <v>86158</v>
      </c>
      <c r="K78" s="68">
        <f>L78+N78</f>
        <v>3723</v>
      </c>
      <c r="L78" s="68">
        <f>L32</f>
        <v>-769</v>
      </c>
      <c r="M78" s="68"/>
      <c r="N78" s="68">
        <f>N24+N47+N60</f>
        <v>4492</v>
      </c>
      <c r="O78" s="68">
        <f>O32</f>
        <v>-261</v>
      </c>
      <c r="P78" s="68">
        <f>P32</f>
        <v>-15</v>
      </c>
      <c r="Q78" s="68">
        <f>Q22</f>
        <v>0</v>
      </c>
      <c r="R78" s="68">
        <f>R31+R34+R35+R44+R59+R60+R61</f>
        <v>77827</v>
      </c>
      <c r="S78" s="68">
        <f>S33+S47+S58</f>
        <v>6876</v>
      </c>
      <c r="T78" s="66">
        <f>S78+U78</f>
        <v>-14566</v>
      </c>
      <c r="U78" s="67">
        <f>U31+U44+U47+U59</f>
        <v>-21442</v>
      </c>
      <c r="V78" s="74">
        <f>V48</f>
        <v>0</v>
      </c>
      <c r="W78" s="195">
        <f>J78+U78+V78</f>
        <v>64716</v>
      </c>
      <c r="X78" s="66">
        <f>X22+X23</f>
        <v>0</v>
      </c>
      <c r="Y78" s="67">
        <f>Y22</f>
        <v>0</v>
      </c>
      <c r="Z78" s="67">
        <f>Z32+Z33+Z34+Z35+Z47+Z58+Z61</f>
        <v>64716</v>
      </c>
      <c r="AA78" s="212">
        <f>AA65</f>
        <v>0</v>
      </c>
      <c r="AB78" s="66">
        <f>AB32</f>
        <v>-769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f>AH47</f>
        <v>32797</v>
      </c>
      <c r="AI78" s="172">
        <v>0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2.75">
      <c r="A79" s="50">
        <v>5</v>
      </c>
      <c r="B79" s="489" t="s">
        <v>19</v>
      </c>
      <c r="C79" s="490">
        <f>D79+E79+F79+G79+H79</f>
        <v>0</v>
      </c>
      <c r="D79" s="491">
        <v>0</v>
      </c>
      <c r="E79" s="491"/>
      <c r="F79" s="491">
        <v>0</v>
      </c>
      <c r="G79" s="76"/>
      <c r="H79" s="76">
        <v>0</v>
      </c>
      <c r="I79" s="77">
        <v>0</v>
      </c>
      <c r="J79" s="75">
        <f>K79+O79+P79+Q79+R79+S79</f>
        <v>0</v>
      </c>
      <c r="K79" s="76">
        <v>0</v>
      </c>
      <c r="L79" s="76">
        <v>0</v>
      </c>
      <c r="M79" s="76"/>
      <c r="N79" s="76">
        <v>0</v>
      </c>
      <c r="O79" s="76">
        <v>0</v>
      </c>
      <c r="P79" s="76">
        <v>0</v>
      </c>
      <c r="Q79" s="76">
        <v>0</v>
      </c>
      <c r="R79" s="145">
        <v>0</v>
      </c>
      <c r="S79" s="145">
        <v>0</v>
      </c>
      <c r="T79" s="96">
        <v>0</v>
      </c>
      <c r="U79" s="151">
        <v>0</v>
      </c>
      <c r="V79" s="77">
        <v>0</v>
      </c>
      <c r="W79" s="324">
        <f>J79+U79+V79</f>
        <v>0</v>
      </c>
      <c r="X79" s="96">
        <v>0</v>
      </c>
      <c r="Y79" s="151">
        <v>0</v>
      </c>
      <c r="Z79" s="151">
        <v>0</v>
      </c>
      <c r="AA79" s="395">
        <v>0</v>
      </c>
      <c r="AB79" s="410">
        <v>0</v>
      </c>
      <c r="AC79" s="358">
        <v>0</v>
      </c>
      <c r="AD79" s="358">
        <v>0</v>
      </c>
      <c r="AE79" s="358">
        <v>0</v>
      </c>
      <c r="AF79" s="358">
        <v>0</v>
      </c>
      <c r="AG79" s="358">
        <v>0</v>
      </c>
      <c r="AH79" s="358">
        <v>0</v>
      </c>
      <c r="AI79" s="359">
        <v>0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2.75">
      <c r="A80" s="47" t="s">
        <v>19</v>
      </c>
      <c r="B80" s="47"/>
      <c r="C80" s="75">
        <f>SUM(C77:C79)</f>
        <v>27877</v>
      </c>
      <c r="D80" s="76">
        <f>SUM(D77:D79)</f>
        <v>0</v>
      </c>
      <c r="E80" s="76"/>
      <c r="F80" s="76">
        <f>SUM(F77:F79)</f>
        <v>0</v>
      </c>
      <c r="G80" s="76"/>
      <c r="H80" s="76">
        <f aca="true" t="shared" si="22" ref="H80:Q80">SUM(H77:H79)</f>
        <v>0</v>
      </c>
      <c r="I80" s="77">
        <f t="shared" si="22"/>
        <v>0</v>
      </c>
      <c r="J80" s="147">
        <f>K80+O80+P80+Q80+R80+S80-1992</f>
        <v>106962</v>
      </c>
      <c r="K80" s="76">
        <f t="shared" si="22"/>
        <v>3723</v>
      </c>
      <c r="L80" s="76">
        <f t="shared" si="22"/>
        <v>-769</v>
      </c>
      <c r="M80" s="76">
        <f t="shared" si="22"/>
        <v>0</v>
      </c>
      <c r="N80" s="76">
        <f t="shared" si="22"/>
        <v>4492</v>
      </c>
      <c r="O80" s="76">
        <f t="shared" si="22"/>
        <v>-261</v>
      </c>
      <c r="P80" s="76">
        <f t="shared" si="22"/>
        <v>-15</v>
      </c>
      <c r="Q80" s="76">
        <f t="shared" si="22"/>
        <v>0</v>
      </c>
      <c r="R80" s="144">
        <f aca="true" t="shared" si="23" ref="R80:AI80">SUM(R77:R79)</f>
        <v>77827</v>
      </c>
      <c r="S80" s="144">
        <f t="shared" si="23"/>
        <v>27680</v>
      </c>
      <c r="T80" s="76">
        <f t="shared" si="23"/>
        <v>-14566</v>
      </c>
      <c r="U80" s="76">
        <f t="shared" si="23"/>
        <v>-42246</v>
      </c>
      <c r="V80" s="144">
        <f t="shared" si="23"/>
        <v>0</v>
      </c>
      <c r="W80" s="77">
        <f t="shared" si="23"/>
        <v>64716</v>
      </c>
      <c r="X80" s="360">
        <f t="shared" si="23"/>
        <v>0</v>
      </c>
      <c r="Y80" s="361">
        <f>SUM(Y77:Y79)</f>
        <v>0</v>
      </c>
      <c r="Z80" s="361">
        <f>SUM(Z77:Z79)</f>
        <v>64716</v>
      </c>
      <c r="AA80" s="396">
        <f t="shared" si="23"/>
        <v>0</v>
      </c>
      <c r="AB80" s="360">
        <f t="shared" si="23"/>
        <v>-769</v>
      </c>
      <c r="AC80" s="361">
        <f t="shared" si="23"/>
        <v>0</v>
      </c>
      <c r="AD80" s="361">
        <f t="shared" si="23"/>
        <v>0</v>
      </c>
      <c r="AE80" s="361">
        <f t="shared" si="23"/>
        <v>0</v>
      </c>
      <c r="AF80" s="361">
        <f t="shared" si="23"/>
        <v>0</v>
      </c>
      <c r="AG80" s="361">
        <f t="shared" si="23"/>
        <v>0</v>
      </c>
      <c r="AH80" s="361">
        <f t="shared" si="23"/>
        <v>32797</v>
      </c>
      <c r="AI80" s="144">
        <f t="shared" si="23"/>
        <v>0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2.75">
      <c r="A81" s="57"/>
      <c r="B81" s="5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2.75">
      <c r="A82" t="s">
        <v>41</v>
      </c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2.75">
      <c r="A83" t="s">
        <v>42</v>
      </c>
      <c r="B83" t="s">
        <v>43</v>
      </c>
      <c r="C83" s="2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2.75">
      <c r="A84" t="s">
        <v>44</v>
      </c>
      <c r="B84" t="s">
        <v>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2.75">
      <c r="A85" t="s">
        <v>46</v>
      </c>
      <c r="B85" t="s">
        <v>47</v>
      </c>
      <c r="C85" s="2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2.75">
      <c r="A86" s="4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2.75">
      <c r="A87" s="4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2.75">
      <c r="A88" s="4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2.75">
      <c r="A89" s="4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2.75">
      <c r="A90" s="4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2.75">
      <c r="A91" s="4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2.75">
      <c r="A92" s="4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2.75">
      <c r="A93" s="4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2.75">
      <c r="A94" s="4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2.75">
      <c r="A95" s="4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2.75">
      <c r="A96" s="4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2.75">
      <c r="A97" s="4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2.75">
      <c r="A98" s="4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2.75">
      <c r="A99" s="4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2.75">
      <c r="A100" s="4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2.75">
      <c r="A101" s="4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12.75">
      <c r="A102" s="4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3:4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3:4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3:4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3:4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3:4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3:4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3:4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3:4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3:4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3:4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3:4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3:4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3:4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</sheetData>
  <mergeCells count="2">
    <mergeCell ref="G11:I11"/>
    <mergeCell ref="AB9:AH9"/>
  </mergeCells>
  <printOptions horizontalCentered="1"/>
  <pageMargins left="0.3937007874015748" right="0" top="0.5905511811023623" bottom="0" header="0.5118110236220472" footer="0.5118110236220472"/>
  <pageSetup fitToHeight="1" fitToWidth="1" horizontalDpi="600" verticalDpi="600" orientation="landscape" paperSize="9" scale="55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9"/>
  <sheetViews>
    <sheetView workbookViewId="0" topLeftCell="A7">
      <selection activeCell="O77" sqref="O77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0.125" style="0" hidden="1" customWidth="1"/>
    <col min="27" max="28" width="9.00390625" style="0" customWidth="1"/>
    <col min="29" max="29" width="9.75390625" style="0" customWidth="1"/>
    <col min="30" max="30" width="10.75390625" style="0" hidden="1" customWidth="1"/>
    <col min="31" max="31" width="11.75390625" style="0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113"/>
      <c r="AB4" s="113"/>
    </row>
    <row r="5" ht="12.75">
      <c r="L5" t="s">
        <v>52</v>
      </c>
    </row>
    <row r="6" spans="2:19" s="25" customFormat="1" ht="18">
      <c r="B6" s="127"/>
      <c r="D6" s="127"/>
      <c r="E6" s="127"/>
      <c r="F6" s="127"/>
      <c r="G6" s="127"/>
      <c r="H6" s="272"/>
      <c r="I6"/>
      <c r="J6" s="127" t="s">
        <v>234</v>
      </c>
      <c r="R6" s="128"/>
      <c r="S6" s="128"/>
    </row>
    <row r="7" spans="2:22" ht="18">
      <c r="B7" s="7"/>
      <c r="C7" s="6"/>
      <c r="D7" s="127"/>
      <c r="E7" s="127"/>
      <c r="F7" s="127"/>
      <c r="G7" s="127"/>
      <c r="H7" s="25"/>
      <c r="J7" s="127"/>
      <c r="K7" s="25"/>
      <c r="L7" s="128"/>
      <c r="M7" s="128"/>
      <c r="N7" s="128"/>
      <c r="O7" s="128"/>
      <c r="P7" s="128"/>
      <c r="Q7" s="128"/>
      <c r="R7" s="128"/>
      <c r="S7" s="128"/>
      <c r="T7" s="128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44"/>
      <c r="B9" s="26" t="s">
        <v>0</v>
      </c>
      <c r="C9" s="35" t="s">
        <v>1</v>
      </c>
      <c r="D9" s="14" t="s">
        <v>2</v>
      </c>
      <c r="E9" s="14"/>
      <c r="F9" s="14"/>
      <c r="G9" s="14"/>
      <c r="H9" s="14"/>
      <c r="I9" s="552"/>
      <c r="J9" s="13"/>
      <c r="K9" s="11" t="s">
        <v>3</v>
      </c>
      <c r="L9" s="8"/>
      <c r="M9" s="8"/>
      <c r="N9" s="8"/>
      <c r="O9" s="9"/>
      <c r="P9" s="8"/>
      <c r="Q9" s="8"/>
      <c r="R9" s="8"/>
      <c r="S9" s="9"/>
      <c r="T9" s="191" t="s">
        <v>66</v>
      </c>
      <c r="U9" s="192"/>
      <c r="V9" s="215"/>
      <c r="W9" s="234" t="s">
        <v>4</v>
      </c>
      <c r="X9" s="596"/>
      <c r="Y9" s="597"/>
      <c r="AA9" s="191" t="s">
        <v>153</v>
      </c>
      <c r="AB9" s="574"/>
      <c r="AC9" s="574"/>
      <c r="AD9" s="602" t="s">
        <v>110</v>
      </c>
      <c r="AE9" s="605"/>
      <c r="AF9" s="440"/>
      <c r="AG9" s="276"/>
      <c r="AH9" s="276"/>
      <c r="AI9" s="276"/>
      <c r="AJ9" s="277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2"/>
      <c r="C10" s="36"/>
      <c r="D10" s="547" t="s">
        <v>133</v>
      </c>
      <c r="E10" s="548"/>
      <c r="F10" s="549"/>
      <c r="G10" s="549"/>
      <c r="H10" s="553"/>
      <c r="I10" s="554"/>
      <c r="J10" s="566"/>
      <c r="K10" s="613"/>
      <c r="L10" s="538"/>
      <c r="M10" s="538"/>
      <c r="N10" s="538"/>
      <c r="O10" s="539"/>
      <c r="P10" s="539"/>
      <c r="Q10" s="539"/>
      <c r="R10" s="539"/>
      <c r="S10" s="540"/>
      <c r="T10" s="541"/>
      <c r="U10" s="542"/>
      <c r="V10" s="543"/>
      <c r="W10" s="306"/>
      <c r="X10" s="598"/>
      <c r="Y10" s="544"/>
      <c r="Z10" s="544"/>
      <c r="AA10" s="568"/>
      <c r="AB10" s="58"/>
      <c r="AC10" s="58"/>
      <c r="AD10" s="603"/>
      <c r="AE10" s="492"/>
      <c r="AF10" s="427"/>
      <c r="AG10" s="84"/>
      <c r="AH10" s="84"/>
      <c r="AI10" s="84"/>
      <c r="AJ10" s="546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5" t="s">
        <v>19</v>
      </c>
      <c r="D11" s="550" t="s">
        <v>134</v>
      </c>
      <c r="E11" s="551"/>
      <c r="F11" s="631"/>
      <c r="G11" s="1123" t="s">
        <v>157</v>
      </c>
      <c r="H11" s="1124"/>
      <c r="I11" s="1125"/>
      <c r="J11" s="648"/>
      <c r="K11" s="626" t="s">
        <v>154</v>
      </c>
      <c r="L11" s="610" t="s">
        <v>133</v>
      </c>
      <c r="M11" s="608"/>
      <c r="N11" s="609"/>
      <c r="O11" s="18" t="s">
        <v>9</v>
      </c>
      <c r="P11" s="209" t="s">
        <v>10</v>
      </c>
      <c r="Q11" s="565" t="s">
        <v>11</v>
      </c>
      <c r="R11" s="166" t="s">
        <v>11</v>
      </c>
      <c r="S11" s="167" t="s">
        <v>12</v>
      </c>
      <c r="T11" s="193" t="s">
        <v>65</v>
      </c>
      <c r="U11" s="194"/>
      <c r="V11" s="12" t="s">
        <v>64</v>
      </c>
      <c r="W11" s="306"/>
      <c r="X11" s="293" t="s">
        <v>103</v>
      </c>
      <c r="Y11" s="294" t="s">
        <v>4</v>
      </c>
      <c r="Z11" s="452" t="s">
        <v>103</v>
      </c>
      <c r="AA11" s="293" t="s">
        <v>91</v>
      </c>
      <c r="AB11" s="295" t="s">
        <v>129</v>
      </c>
      <c r="AC11" s="411" t="s">
        <v>111</v>
      </c>
      <c r="AD11" s="295" t="s">
        <v>142</v>
      </c>
      <c r="AE11" s="296" t="s">
        <v>142</v>
      </c>
      <c r="AF11" s="499" t="s">
        <v>119</v>
      </c>
      <c r="AG11" s="294" t="s">
        <v>86</v>
      </c>
      <c r="AH11" s="295" t="s">
        <v>20</v>
      </c>
      <c r="AI11" s="561" t="s">
        <v>129</v>
      </c>
      <c r="AJ11" s="296" t="s">
        <v>92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13</v>
      </c>
      <c r="B12" s="5"/>
      <c r="C12" s="29"/>
      <c r="D12" s="20" t="s">
        <v>14</v>
      </c>
      <c r="E12" s="557" t="s">
        <v>136</v>
      </c>
      <c r="F12" s="637" t="s">
        <v>92</v>
      </c>
      <c r="G12" s="652" t="s">
        <v>159</v>
      </c>
      <c r="H12" s="632" t="s">
        <v>135</v>
      </c>
      <c r="I12" s="633"/>
      <c r="J12" s="1"/>
      <c r="K12" s="626" t="s">
        <v>155</v>
      </c>
      <c r="L12" s="611"/>
      <c r="M12" s="612"/>
      <c r="N12" s="18"/>
      <c r="O12" s="31"/>
      <c r="P12" s="1" t="s">
        <v>17</v>
      </c>
      <c r="Q12" s="1" t="s">
        <v>18</v>
      </c>
      <c r="R12" s="39" t="s">
        <v>50</v>
      </c>
      <c r="S12" s="168" t="s">
        <v>48</v>
      </c>
      <c r="T12" s="93" t="s">
        <v>19</v>
      </c>
      <c r="U12" s="134" t="s">
        <v>5</v>
      </c>
      <c r="V12" s="15" t="s">
        <v>27</v>
      </c>
      <c r="W12" s="306"/>
      <c r="X12" s="297" t="s">
        <v>104</v>
      </c>
      <c r="Y12" s="298" t="s">
        <v>94</v>
      </c>
      <c r="Z12" s="453" t="s">
        <v>104</v>
      </c>
      <c r="AA12" s="297" t="s">
        <v>93</v>
      </c>
      <c r="AB12" s="299" t="s">
        <v>149</v>
      </c>
      <c r="AC12" s="412" t="s">
        <v>114</v>
      </c>
      <c r="AD12" s="299" t="s">
        <v>143</v>
      </c>
      <c r="AE12" s="414" t="s">
        <v>146</v>
      </c>
      <c r="AF12" s="500" t="s">
        <v>118</v>
      </c>
      <c r="AG12" s="298" t="s">
        <v>87</v>
      </c>
      <c r="AH12" s="299" t="s">
        <v>88</v>
      </c>
      <c r="AI12" s="562" t="s">
        <v>149</v>
      </c>
      <c r="AJ12" s="300" t="s">
        <v>95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21</v>
      </c>
      <c r="B13" s="12" t="s">
        <v>22</v>
      </c>
      <c r="C13" s="555"/>
      <c r="D13" s="20" t="s">
        <v>23</v>
      </c>
      <c r="E13" s="558" t="s">
        <v>137</v>
      </c>
      <c r="F13" s="638" t="s">
        <v>95</v>
      </c>
      <c r="G13" s="653" t="s">
        <v>136</v>
      </c>
      <c r="H13" s="634" t="s">
        <v>19</v>
      </c>
      <c r="I13" s="635" t="s">
        <v>7</v>
      </c>
      <c r="J13" s="649" t="s">
        <v>19</v>
      </c>
      <c r="K13" s="627" t="s">
        <v>19</v>
      </c>
      <c r="L13" s="16" t="s">
        <v>24</v>
      </c>
      <c r="M13" s="30"/>
      <c r="N13" s="30" t="s">
        <v>25</v>
      </c>
      <c r="O13" s="39"/>
      <c r="P13" s="23"/>
      <c r="Q13" s="1" t="s">
        <v>26</v>
      </c>
      <c r="R13" s="39" t="s">
        <v>49</v>
      </c>
      <c r="S13" s="168" t="s">
        <v>27</v>
      </c>
      <c r="T13" s="40" t="s">
        <v>28</v>
      </c>
      <c r="U13" s="134" t="s">
        <v>23</v>
      </c>
      <c r="V13" s="15" t="s">
        <v>49</v>
      </c>
      <c r="W13" s="306" t="s">
        <v>19</v>
      </c>
      <c r="X13" s="297" t="s">
        <v>105</v>
      </c>
      <c r="Y13" s="298" t="s">
        <v>97</v>
      </c>
      <c r="Z13" s="453" t="s">
        <v>108</v>
      </c>
      <c r="AA13" s="297" t="s">
        <v>96</v>
      </c>
      <c r="AB13" s="299" t="s">
        <v>172</v>
      </c>
      <c r="AC13" s="412" t="s">
        <v>141</v>
      </c>
      <c r="AD13" s="299" t="s">
        <v>144</v>
      </c>
      <c r="AE13" s="414" t="s">
        <v>147</v>
      </c>
      <c r="AF13" s="500" t="s">
        <v>138</v>
      </c>
      <c r="AG13" s="298" t="s">
        <v>29</v>
      </c>
      <c r="AH13" s="299" t="s">
        <v>34</v>
      </c>
      <c r="AI13" s="562" t="s">
        <v>150</v>
      </c>
      <c r="AJ13" s="300" t="s">
        <v>98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45" t="s">
        <v>30</v>
      </c>
      <c r="B14" s="27" t="s">
        <v>31</v>
      </c>
      <c r="C14" s="41"/>
      <c r="D14" s="21" t="s">
        <v>32</v>
      </c>
      <c r="E14" s="559"/>
      <c r="F14" s="638" t="s">
        <v>128</v>
      </c>
      <c r="G14" s="653" t="s">
        <v>158</v>
      </c>
      <c r="H14" s="636"/>
      <c r="I14" s="654" t="s">
        <v>33</v>
      </c>
      <c r="J14" s="650"/>
      <c r="K14" s="208"/>
      <c r="L14" s="19" t="s">
        <v>19</v>
      </c>
      <c r="M14" s="19"/>
      <c r="N14" s="210"/>
      <c r="O14" s="22"/>
      <c r="P14" s="19"/>
      <c r="Q14" s="3"/>
      <c r="R14" s="667" t="s">
        <v>28</v>
      </c>
      <c r="S14" s="860"/>
      <c r="T14" s="42"/>
      <c r="U14" s="135" t="s">
        <v>27</v>
      </c>
      <c r="V14" s="41" t="s">
        <v>28</v>
      </c>
      <c r="W14" s="307"/>
      <c r="X14" s="421" t="s">
        <v>106</v>
      </c>
      <c r="Y14" s="302" t="s">
        <v>100</v>
      </c>
      <c r="Z14" s="509" t="s">
        <v>106</v>
      </c>
      <c r="AA14" s="508" t="s">
        <v>99</v>
      </c>
      <c r="AB14" s="422" t="s">
        <v>19</v>
      </c>
      <c r="AC14" s="423" t="s">
        <v>140</v>
      </c>
      <c r="AD14" s="302" t="s">
        <v>145</v>
      </c>
      <c r="AE14" s="606" t="s">
        <v>148</v>
      </c>
      <c r="AF14" s="569" t="s">
        <v>139</v>
      </c>
      <c r="AG14" s="301"/>
      <c r="AH14" s="301"/>
      <c r="AI14" s="564" t="s">
        <v>151</v>
      </c>
      <c r="AJ14" s="303" t="s">
        <v>101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99"/>
      <c r="B15" s="34" t="s">
        <v>187</v>
      </c>
      <c r="C15" s="600">
        <f>D15+E15+F15+G15+H15</f>
        <v>584815</v>
      </c>
      <c r="D15" s="496">
        <f>584815-E15</f>
        <v>505000</v>
      </c>
      <c r="E15" s="591">
        <v>79815</v>
      </c>
      <c r="F15" s="646">
        <v>0</v>
      </c>
      <c r="G15" s="655">
        <v>0</v>
      </c>
      <c r="H15" s="601">
        <v>0</v>
      </c>
      <c r="I15" s="494">
        <v>0</v>
      </c>
      <c r="J15" s="494">
        <f>K15+O15+P15+Q15+R15+S15</f>
        <v>1610336</v>
      </c>
      <c r="K15" s="496">
        <f>L15+N15</f>
        <v>685116</v>
      </c>
      <c r="L15" s="591">
        <v>666786</v>
      </c>
      <c r="M15" s="601"/>
      <c r="N15" s="601">
        <v>18330</v>
      </c>
      <c r="O15" s="601">
        <v>232940</v>
      </c>
      <c r="P15" s="591">
        <v>13335</v>
      </c>
      <c r="Q15" s="601">
        <v>0</v>
      </c>
      <c r="R15" s="591">
        <v>371524</v>
      </c>
      <c r="S15" s="494">
        <v>307421</v>
      </c>
      <c r="T15" s="496">
        <f>S15+U15</f>
        <v>436021</v>
      </c>
      <c r="U15" s="495">
        <v>128600</v>
      </c>
      <c r="V15" s="535">
        <v>0</v>
      </c>
      <c r="W15" s="590">
        <f>U15+J15</f>
        <v>1738936</v>
      </c>
      <c r="X15" s="496">
        <v>0</v>
      </c>
      <c r="Y15" s="591">
        <v>0</v>
      </c>
      <c r="Z15" s="593">
        <v>0</v>
      </c>
      <c r="AA15" s="607">
        <v>1738936</v>
      </c>
      <c r="AB15" s="592">
        <v>93900</v>
      </c>
      <c r="AC15" s="595">
        <v>609336</v>
      </c>
      <c r="AD15" s="592">
        <v>0</v>
      </c>
      <c r="AE15" s="594">
        <v>57450</v>
      </c>
      <c r="AF15" s="595">
        <v>0</v>
      </c>
      <c r="AG15" s="592">
        <v>0</v>
      </c>
      <c r="AH15" s="592">
        <v>0</v>
      </c>
      <c r="AI15" s="593">
        <v>0</v>
      </c>
      <c r="AJ15" s="594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57" customFormat="1" ht="12.75" hidden="1">
      <c r="A16" s="47"/>
      <c r="B16" s="415" t="s">
        <v>124</v>
      </c>
      <c r="C16" s="126"/>
      <c r="D16" s="125"/>
      <c r="E16" s="122"/>
      <c r="F16" s="640"/>
      <c r="G16" s="125"/>
      <c r="H16" s="122"/>
      <c r="I16" s="124"/>
      <c r="J16" s="124">
        <f>K16+O16+P16+Q16+R16+S16</f>
        <v>0</v>
      </c>
      <c r="K16" s="125"/>
      <c r="L16" s="123"/>
      <c r="M16" s="122"/>
      <c r="N16" s="122"/>
      <c r="O16" s="122"/>
      <c r="P16" s="123"/>
      <c r="Q16" s="122"/>
      <c r="R16" s="123"/>
      <c r="S16" s="124"/>
      <c r="T16" s="122">
        <f>S16+U16</f>
        <v>0</v>
      </c>
      <c r="U16" s="139"/>
      <c r="V16" s="366"/>
      <c r="W16" s="314">
        <f>U16+J16</f>
        <v>0</v>
      </c>
      <c r="X16" s="419"/>
      <c r="Y16" s="81"/>
      <c r="Z16" s="376"/>
      <c r="AA16" s="80"/>
      <c r="AB16" s="81"/>
      <c r="AC16" s="83"/>
      <c r="AD16" s="81"/>
      <c r="AE16" s="304"/>
      <c r="AF16" s="83"/>
      <c r="AG16" s="81"/>
      <c r="AH16" s="81"/>
      <c r="AI16" s="376"/>
      <c r="AJ16" s="30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</row>
    <row r="17" spans="1:50" ht="12.75">
      <c r="A17" s="5"/>
      <c r="B17" s="133" t="s">
        <v>35</v>
      </c>
      <c r="C17" s="222"/>
      <c r="D17" s="223"/>
      <c r="E17" s="226"/>
      <c r="F17" s="227"/>
      <c r="G17" s="223"/>
      <c r="H17" s="224"/>
      <c r="I17" s="225"/>
      <c r="J17" s="275"/>
      <c r="K17" s="274"/>
      <c r="L17" s="224"/>
      <c r="M17" s="226"/>
      <c r="N17" s="226"/>
      <c r="O17" s="226"/>
      <c r="P17" s="224"/>
      <c r="Q17" s="226"/>
      <c r="R17" s="816"/>
      <c r="S17" s="225"/>
      <c r="T17" s="367"/>
      <c r="U17" s="227"/>
      <c r="V17" s="228"/>
      <c r="W17" s="315"/>
      <c r="X17" s="441"/>
      <c r="Y17" s="621"/>
      <c r="Z17" s="475"/>
      <c r="AA17" s="587"/>
      <c r="AB17" s="1119"/>
      <c r="AC17" s="456"/>
      <c r="AD17" s="305"/>
      <c r="AE17" s="326"/>
      <c r="AF17" s="455"/>
      <c r="AG17" s="305"/>
      <c r="AH17" s="305"/>
      <c r="AI17" s="375"/>
      <c r="AJ17" s="326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820">
        <v>1</v>
      </c>
      <c r="B18" s="821" t="s">
        <v>185</v>
      </c>
      <c r="C18" s="109">
        <f>D18+H18</f>
        <v>0</v>
      </c>
      <c r="D18" s="857"/>
      <c r="E18" s="368"/>
      <c r="F18" s="858"/>
      <c r="G18" s="857"/>
      <c r="H18" s="282"/>
      <c r="I18" s="859"/>
      <c r="J18" s="861">
        <f aca="true" t="shared" si="0" ref="J18:J33">K18+O18+P18+Q18+R18+S18</f>
        <v>-45701</v>
      </c>
      <c r="K18" s="876">
        <f>L18+N18</f>
        <v>-6851</v>
      </c>
      <c r="L18" s="862">
        <v>-5000</v>
      </c>
      <c r="M18" s="863"/>
      <c r="N18" s="862">
        <v>-1851</v>
      </c>
      <c r="O18" s="864">
        <v>-2330</v>
      </c>
      <c r="P18" s="865">
        <v>-133</v>
      </c>
      <c r="Q18" s="864"/>
      <c r="R18" s="866">
        <v>-36387</v>
      </c>
      <c r="S18" s="867"/>
      <c r="T18" s="868"/>
      <c r="U18" s="869"/>
      <c r="V18" s="870"/>
      <c r="W18" s="871">
        <f aca="true" t="shared" si="1" ref="W18:W24">U18+J18</f>
        <v>-45701</v>
      </c>
      <c r="X18" s="872"/>
      <c r="Y18" s="873"/>
      <c r="Z18" s="874"/>
      <c r="AA18" s="875">
        <v>-45701</v>
      </c>
      <c r="AB18" s="1120"/>
      <c r="AC18" s="824">
        <v>-3867</v>
      </c>
      <c r="AD18" s="837"/>
      <c r="AE18" s="831">
        <v>-1133</v>
      </c>
      <c r="AF18" s="455"/>
      <c r="AG18" s="305"/>
      <c r="AH18" s="305"/>
      <c r="AI18" s="375"/>
      <c r="AJ18" s="326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46" ht="13.5" thickBot="1">
      <c r="A19" s="221">
        <v>3</v>
      </c>
      <c r="B19" s="164" t="s">
        <v>177</v>
      </c>
      <c r="C19" s="109">
        <f>D19+H19</f>
        <v>0</v>
      </c>
      <c r="D19" s="311"/>
      <c r="E19" s="622"/>
      <c r="F19" s="647"/>
      <c r="G19" s="311"/>
      <c r="H19" s="522"/>
      <c r="I19" s="248"/>
      <c r="J19" s="248">
        <f t="shared" si="0"/>
        <v>-794</v>
      </c>
      <c r="K19" s="311">
        <f aca="true" t="shared" si="2" ref="K19:K24">L19+N19</f>
        <v>0</v>
      </c>
      <c r="L19" s="282"/>
      <c r="M19" s="282"/>
      <c r="N19" s="623"/>
      <c r="O19" s="282"/>
      <c r="P19" s="282"/>
      <c r="Q19" s="282"/>
      <c r="R19" s="624">
        <v>-794</v>
      </c>
      <c r="S19" s="248"/>
      <c r="T19" s="237">
        <f aca="true" t="shared" si="3" ref="T19:T24">S19+U19</f>
        <v>0</v>
      </c>
      <c r="U19" s="263"/>
      <c r="V19" s="262"/>
      <c r="W19" s="308">
        <f t="shared" si="1"/>
        <v>-794</v>
      </c>
      <c r="X19" s="523"/>
      <c r="Y19" s="449"/>
      <c r="Z19" s="510"/>
      <c r="AA19" s="493">
        <v>-794</v>
      </c>
      <c r="AB19" s="577"/>
      <c r="AC19" s="458"/>
      <c r="AD19" s="522"/>
      <c r="AE19" s="578"/>
      <c r="AF19" s="264"/>
      <c r="AG19" s="327"/>
      <c r="AH19" s="327"/>
      <c r="AI19" s="563"/>
      <c r="AJ19" s="33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3.5" hidden="1" thickBot="1">
      <c r="A20" s="488"/>
      <c r="B20" s="164"/>
      <c r="C20" s="109">
        <f>D20+H20</f>
        <v>0</v>
      </c>
      <c r="D20" s="264"/>
      <c r="E20" s="264"/>
      <c r="F20" s="643"/>
      <c r="G20" s="252"/>
      <c r="H20" s="261"/>
      <c r="I20" s="241"/>
      <c r="J20" s="241">
        <f t="shared" si="0"/>
        <v>0</v>
      </c>
      <c r="K20" s="252">
        <f t="shared" si="2"/>
        <v>0</v>
      </c>
      <c r="L20" s="249"/>
      <c r="M20" s="250"/>
      <c r="N20" s="249"/>
      <c r="O20" s="249"/>
      <c r="P20" s="249"/>
      <c r="Q20" s="249"/>
      <c r="R20" s="261"/>
      <c r="S20" s="370"/>
      <c r="T20" s="311">
        <f t="shared" si="3"/>
        <v>0</v>
      </c>
      <c r="U20" s="364"/>
      <c r="V20" s="262"/>
      <c r="W20" s="308">
        <f t="shared" si="1"/>
        <v>0</v>
      </c>
      <c r="X20" s="446"/>
      <c r="Y20" s="444"/>
      <c r="Z20" s="511"/>
      <c r="AA20" s="493"/>
      <c r="AB20" s="577"/>
      <c r="AC20" s="458"/>
      <c r="AD20" s="261"/>
      <c r="AE20" s="334"/>
      <c r="AF20" s="264"/>
      <c r="AG20" s="327"/>
      <c r="AH20" s="327"/>
      <c r="AI20" s="563"/>
      <c r="AJ20" s="33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 hidden="1">
      <c r="A21" s="129"/>
      <c r="B21" s="56"/>
      <c r="C21" s="65"/>
      <c r="D21" s="68"/>
      <c r="E21" s="68"/>
      <c r="F21" s="74"/>
      <c r="G21" s="66"/>
      <c r="H21" s="67"/>
      <c r="I21" s="65"/>
      <c r="J21" s="65">
        <f t="shared" si="0"/>
        <v>0</v>
      </c>
      <c r="K21" s="66">
        <f t="shared" si="2"/>
        <v>0</v>
      </c>
      <c r="L21" s="189"/>
      <c r="M21" s="189"/>
      <c r="N21" s="486"/>
      <c r="O21" s="189"/>
      <c r="P21" s="189"/>
      <c r="Q21" s="189"/>
      <c r="R21" s="67"/>
      <c r="S21" s="101"/>
      <c r="T21" s="100">
        <f t="shared" si="3"/>
        <v>0</v>
      </c>
      <c r="U21" s="212"/>
      <c r="V21" s="156"/>
      <c r="W21" s="308">
        <f t="shared" si="1"/>
        <v>0</v>
      </c>
      <c r="X21" s="446"/>
      <c r="Y21" s="450"/>
      <c r="Z21" s="511"/>
      <c r="AA21" s="493"/>
      <c r="AB21" s="577"/>
      <c r="AC21" s="458"/>
      <c r="AD21" s="67"/>
      <c r="AE21" s="172"/>
      <c r="AF21" s="68"/>
      <c r="AG21" s="284"/>
      <c r="AH21" s="284"/>
      <c r="AI21" s="383"/>
      <c r="AJ21" s="172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 hidden="1">
      <c r="A22" s="279"/>
      <c r="B22" s="56"/>
      <c r="C22" s="65"/>
      <c r="D22" s="100"/>
      <c r="E22" s="310"/>
      <c r="F22" s="174"/>
      <c r="G22" s="66"/>
      <c r="H22" s="67"/>
      <c r="I22" s="65"/>
      <c r="J22" s="241">
        <f t="shared" si="0"/>
        <v>0</v>
      </c>
      <c r="K22" s="66">
        <f t="shared" si="2"/>
        <v>0</v>
      </c>
      <c r="L22" s="189"/>
      <c r="M22" s="189"/>
      <c r="N22" s="486"/>
      <c r="O22" s="189"/>
      <c r="P22" s="189"/>
      <c r="Q22" s="189"/>
      <c r="R22" s="67"/>
      <c r="S22" s="290"/>
      <c r="T22" s="363">
        <f t="shared" si="3"/>
        <v>0</v>
      </c>
      <c r="U22" s="365"/>
      <c r="V22" s="156"/>
      <c r="W22" s="308">
        <f t="shared" si="1"/>
        <v>0</v>
      </c>
      <c r="X22" s="446"/>
      <c r="Y22" s="450"/>
      <c r="Z22" s="511"/>
      <c r="AA22" s="493"/>
      <c r="AB22" s="577"/>
      <c r="AC22" s="458"/>
      <c r="AD22" s="67"/>
      <c r="AE22" s="172"/>
      <c r="AF22" s="68"/>
      <c r="AG22" s="284"/>
      <c r="AH22" s="284"/>
      <c r="AI22" s="383"/>
      <c r="AJ22" s="172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hidden="1">
      <c r="A23" s="279"/>
      <c r="B23" s="56"/>
      <c r="C23" s="64"/>
      <c r="D23" s="66"/>
      <c r="E23" s="67"/>
      <c r="F23" s="172"/>
      <c r="G23" s="66"/>
      <c r="H23" s="67"/>
      <c r="I23" s="64"/>
      <c r="J23" s="241">
        <f t="shared" si="0"/>
        <v>0</v>
      </c>
      <c r="K23" s="66">
        <f t="shared" si="2"/>
        <v>0</v>
      </c>
      <c r="L23" s="189"/>
      <c r="M23" s="67"/>
      <c r="N23" s="486"/>
      <c r="O23" s="189"/>
      <c r="P23" s="189"/>
      <c r="Q23" s="189"/>
      <c r="R23" s="67"/>
      <c r="S23" s="290"/>
      <c r="T23" s="363">
        <f t="shared" si="3"/>
        <v>0</v>
      </c>
      <c r="U23" s="365"/>
      <c r="V23" s="188"/>
      <c r="W23" s="308">
        <f t="shared" si="1"/>
        <v>0</v>
      </c>
      <c r="X23" s="446"/>
      <c r="Y23" s="450"/>
      <c r="Z23" s="511"/>
      <c r="AA23" s="493"/>
      <c r="AB23" s="577"/>
      <c r="AC23" s="458"/>
      <c r="AD23" s="67"/>
      <c r="AE23" s="172"/>
      <c r="AF23" s="68"/>
      <c r="AG23" s="284"/>
      <c r="AH23" s="284"/>
      <c r="AI23" s="383"/>
      <c r="AJ23" s="172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3.5" hidden="1" thickBot="1">
      <c r="A24" s="152"/>
      <c r="B24" s="56"/>
      <c r="C24" s="130"/>
      <c r="D24" s="813"/>
      <c r="E24" s="814"/>
      <c r="F24" s="815"/>
      <c r="G24" s="131"/>
      <c r="H24" s="153"/>
      <c r="I24" s="132"/>
      <c r="J24" s="65">
        <f t="shared" si="0"/>
        <v>0</v>
      </c>
      <c r="K24" s="273">
        <f t="shared" si="2"/>
        <v>0</v>
      </c>
      <c r="L24" s="153"/>
      <c r="M24" s="153"/>
      <c r="N24" s="487"/>
      <c r="O24" s="281"/>
      <c r="P24" s="153"/>
      <c r="Q24" s="153"/>
      <c r="R24" s="312"/>
      <c r="S24" s="312"/>
      <c r="T24" s="100">
        <f t="shared" si="3"/>
        <v>0</v>
      </c>
      <c r="U24" s="313"/>
      <c r="V24" s="216"/>
      <c r="W24" s="308">
        <f t="shared" si="1"/>
        <v>0</v>
      </c>
      <c r="X24" s="448"/>
      <c r="Y24" s="451"/>
      <c r="Z24" s="480"/>
      <c r="AA24" s="589"/>
      <c r="AB24" s="1121"/>
      <c r="AC24" s="459"/>
      <c r="AD24" s="153"/>
      <c r="AE24" s="506"/>
      <c r="AF24" s="501"/>
      <c r="AG24" s="335"/>
      <c r="AH24" s="335"/>
      <c r="AI24" s="381"/>
      <c r="AJ24" s="336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7.25" customHeight="1" thickBot="1">
      <c r="A25" s="157"/>
      <c r="B25" s="34" t="s">
        <v>36</v>
      </c>
      <c r="C25" s="90">
        <f>D25+H25</f>
        <v>0</v>
      </c>
      <c r="D25" s="138">
        <f aca="true" t="shared" si="4" ref="D25:I25">SUM(D19:D24)</f>
        <v>0</v>
      </c>
      <c r="E25" s="140">
        <f t="shared" si="4"/>
        <v>0</v>
      </c>
      <c r="F25" s="138">
        <f t="shared" si="4"/>
        <v>0</v>
      </c>
      <c r="G25" s="197">
        <f t="shared" si="4"/>
        <v>0</v>
      </c>
      <c r="H25" s="91">
        <f t="shared" si="4"/>
        <v>0</v>
      </c>
      <c r="I25" s="90">
        <f t="shared" si="4"/>
        <v>0</v>
      </c>
      <c r="J25" s="90">
        <f>K25+O25+P25+Q25+R25+S25</f>
        <v>-794</v>
      </c>
      <c r="K25" s="91">
        <f aca="true" t="shared" si="5" ref="K25:S25">SUM(K19:K24)</f>
        <v>0</v>
      </c>
      <c r="L25" s="91">
        <f t="shared" si="5"/>
        <v>0</v>
      </c>
      <c r="M25" s="91"/>
      <c r="N25" s="91">
        <f t="shared" si="5"/>
        <v>0</v>
      </c>
      <c r="O25" s="91">
        <f t="shared" si="5"/>
        <v>0</v>
      </c>
      <c r="P25" s="91">
        <f t="shared" si="5"/>
        <v>0</v>
      </c>
      <c r="Q25" s="138">
        <f t="shared" si="5"/>
        <v>0</v>
      </c>
      <c r="R25" s="140">
        <f t="shared" si="5"/>
        <v>-794</v>
      </c>
      <c r="S25" s="140">
        <f t="shared" si="5"/>
        <v>0</v>
      </c>
      <c r="T25" s="140">
        <f>SUM(T19:T23)</f>
        <v>0</v>
      </c>
      <c r="U25" s="140">
        <f>SUM(U19:U23)</f>
        <v>0</v>
      </c>
      <c r="V25" s="140">
        <f>SUM(V19:V23)</f>
        <v>0</v>
      </c>
      <c r="W25" s="140">
        <f>SUM(W19:W24)</f>
        <v>-794</v>
      </c>
      <c r="X25" s="140">
        <f>SUM(X19:X23)</f>
        <v>0</v>
      </c>
      <c r="Y25" s="140">
        <f>SUM(Y19:Y23)</f>
        <v>0</v>
      </c>
      <c r="Z25" s="214">
        <f>SUM(Z19:Z23)</f>
        <v>0</v>
      </c>
      <c r="AA25" s="140">
        <f>SUM(AA19:AA23)</f>
        <v>-794</v>
      </c>
      <c r="AB25" s="283">
        <f>SUM(AB19:AB23)</f>
        <v>0</v>
      </c>
      <c r="AC25" s="91">
        <f>SUM(AC19:AC24)</f>
        <v>0</v>
      </c>
      <c r="AD25" s="140">
        <f aca="true" t="shared" si="6" ref="AD25:AJ25">SUM(AD19:AD23)</f>
        <v>0</v>
      </c>
      <c r="AE25" s="337">
        <f t="shared" si="6"/>
        <v>0</v>
      </c>
      <c r="AF25" s="91">
        <f t="shared" si="6"/>
        <v>0</v>
      </c>
      <c r="AG25" s="283">
        <f t="shared" si="6"/>
        <v>0</v>
      </c>
      <c r="AH25" s="283">
        <f t="shared" si="6"/>
        <v>0</v>
      </c>
      <c r="AI25" s="382">
        <f t="shared" si="6"/>
        <v>0</v>
      </c>
      <c r="AJ25" s="337">
        <f t="shared" si="6"/>
        <v>0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888">
        <v>3</v>
      </c>
      <c r="B26" s="158" t="s">
        <v>189</v>
      </c>
      <c r="C26" s="109">
        <f>D26+H26</f>
        <v>0</v>
      </c>
      <c r="D26" s="159"/>
      <c r="E26" s="160"/>
      <c r="F26" s="433"/>
      <c r="G26" s="159"/>
      <c r="H26" s="160"/>
      <c r="I26" s="161"/>
      <c r="J26" s="162">
        <f t="shared" si="0"/>
        <v>5545</v>
      </c>
      <c r="K26" s="163">
        <f>L26+N26</f>
        <v>0</v>
      </c>
      <c r="L26" s="160"/>
      <c r="M26" s="160"/>
      <c r="N26" s="160"/>
      <c r="O26" s="160"/>
      <c r="P26" s="67"/>
      <c r="Q26" s="212"/>
      <c r="R26" s="189">
        <v>5545</v>
      </c>
      <c r="S26" s="189"/>
      <c r="T26" s="498">
        <f>S26+U26</f>
        <v>0</v>
      </c>
      <c r="U26" s="525"/>
      <c r="V26" s="526"/>
      <c r="W26" s="498">
        <f aca="true" t="shared" si="7" ref="W26:W33">U26+J26</f>
        <v>5545</v>
      </c>
      <c r="X26" s="67"/>
      <c r="Y26" s="67"/>
      <c r="Z26" s="212"/>
      <c r="AA26" s="402">
        <v>5545</v>
      </c>
      <c r="AB26" s="284"/>
      <c r="AC26" s="148"/>
      <c r="AD26" s="67"/>
      <c r="AE26" s="172"/>
      <c r="AF26" s="68"/>
      <c r="AG26" s="284"/>
      <c r="AH26" s="284"/>
      <c r="AI26" s="383"/>
      <c r="AJ26" s="172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102">
        <v>3</v>
      </c>
      <c r="B27" s="895" t="s">
        <v>200</v>
      </c>
      <c r="C27" s="109">
        <f>D27+H27</f>
        <v>0</v>
      </c>
      <c r="D27" s="74"/>
      <c r="E27" s="67"/>
      <c r="F27" s="74"/>
      <c r="G27" s="66"/>
      <c r="H27" s="68"/>
      <c r="I27" s="65"/>
      <c r="J27" s="65">
        <f t="shared" si="0"/>
        <v>0</v>
      </c>
      <c r="K27" s="68">
        <f>L27+N27</f>
        <v>0</v>
      </c>
      <c r="L27" s="68"/>
      <c r="M27" s="68"/>
      <c r="N27" s="68"/>
      <c r="O27" s="68"/>
      <c r="P27" s="68"/>
      <c r="Q27" s="74"/>
      <c r="R27" s="67"/>
      <c r="S27" s="67"/>
      <c r="T27" s="498">
        <f>S27+U27</f>
        <v>15000</v>
      </c>
      <c r="U27" s="310">
        <v>15000</v>
      </c>
      <c r="V27" s="67"/>
      <c r="W27" s="67">
        <f t="shared" si="7"/>
        <v>15000</v>
      </c>
      <c r="X27" s="67"/>
      <c r="Y27" s="67"/>
      <c r="Z27" s="212"/>
      <c r="AA27" s="402">
        <v>15000</v>
      </c>
      <c r="AB27" s="284"/>
      <c r="AC27" s="148"/>
      <c r="AD27" s="67"/>
      <c r="AE27" s="172"/>
      <c r="AF27" s="68"/>
      <c r="AG27" s="284"/>
      <c r="AH27" s="284"/>
      <c r="AI27" s="383"/>
      <c r="AJ27" s="172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3.5" thickBot="1">
      <c r="A28" s="922">
        <v>1</v>
      </c>
      <c r="B28" s="923" t="s">
        <v>206</v>
      </c>
      <c r="C28" s="109">
        <f>D28+H28</f>
        <v>0</v>
      </c>
      <c r="D28" s="711"/>
      <c r="E28" s="685"/>
      <c r="F28" s="711"/>
      <c r="G28" s="688"/>
      <c r="H28" s="710"/>
      <c r="I28" s="709"/>
      <c r="J28" s="709">
        <f t="shared" si="0"/>
        <v>-10448</v>
      </c>
      <c r="K28" s="710">
        <f>L28+N28</f>
        <v>0</v>
      </c>
      <c r="L28" s="710"/>
      <c r="M28" s="710"/>
      <c r="N28" s="710"/>
      <c r="O28" s="710"/>
      <c r="P28" s="68"/>
      <c r="Q28" s="74"/>
      <c r="R28" s="67"/>
      <c r="S28" s="685">
        <v>-10448</v>
      </c>
      <c r="T28" s="685">
        <f>S28+U28</f>
        <v>0</v>
      </c>
      <c r="U28" s="685">
        <v>10448</v>
      </c>
      <c r="V28" s="685"/>
      <c r="W28" s="685">
        <f t="shared" si="7"/>
        <v>0</v>
      </c>
      <c r="X28" s="67"/>
      <c r="Y28" s="67"/>
      <c r="Z28" s="212"/>
      <c r="AA28" s="198"/>
      <c r="AB28" s="190"/>
      <c r="AC28" s="199"/>
      <c r="AD28" s="67"/>
      <c r="AE28" s="172"/>
      <c r="AF28" s="68"/>
      <c r="AG28" s="190"/>
      <c r="AH28" s="190"/>
      <c r="AI28" s="383"/>
      <c r="AJ28" s="172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2.75" hidden="1">
      <c r="A29" s="891"/>
      <c r="B29" s="895"/>
      <c r="C29" s="65"/>
      <c r="D29" s="74"/>
      <c r="E29" s="67"/>
      <c r="F29" s="74"/>
      <c r="G29" s="66"/>
      <c r="H29" s="68"/>
      <c r="I29" s="65"/>
      <c r="J29" s="65">
        <f t="shared" si="0"/>
        <v>0</v>
      </c>
      <c r="K29" s="68"/>
      <c r="L29" s="68"/>
      <c r="M29" s="68"/>
      <c r="N29" s="68"/>
      <c r="O29" s="68"/>
      <c r="P29" s="68"/>
      <c r="Q29" s="74"/>
      <c r="R29" s="67"/>
      <c r="S29" s="67"/>
      <c r="T29" s="67">
        <f>S29+U29</f>
        <v>0</v>
      </c>
      <c r="U29" s="67"/>
      <c r="V29" s="67"/>
      <c r="W29" s="67">
        <f t="shared" si="7"/>
        <v>0</v>
      </c>
      <c r="X29" s="67"/>
      <c r="Y29" s="67"/>
      <c r="Z29" s="212"/>
      <c r="AA29" s="198"/>
      <c r="AB29" s="190"/>
      <c r="AC29" s="199"/>
      <c r="AD29" s="67"/>
      <c r="AE29" s="172"/>
      <c r="AF29" s="68"/>
      <c r="AG29" s="190"/>
      <c r="AH29" s="190"/>
      <c r="AI29" s="383"/>
      <c r="AJ29" s="172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 hidden="1">
      <c r="A30" s="890"/>
      <c r="B30" s="165"/>
      <c r="C30" s="98"/>
      <c r="D30" s="173"/>
      <c r="E30" s="310"/>
      <c r="F30" s="173"/>
      <c r="G30" s="100"/>
      <c r="H30" s="99"/>
      <c r="I30" s="98"/>
      <c r="J30" s="65">
        <f t="shared" si="0"/>
        <v>0</v>
      </c>
      <c r="K30" s="99"/>
      <c r="L30" s="99"/>
      <c r="M30" s="99"/>
      <c r="N30" s="99"/>
      <c r="O30" s="99"/>
      <c r="P30" s="99"/>
      <c r="Q30" s="173"/>
      <c r="R30" s="310"/>
      <c r="S30" s="310"/>
      <c r="T30" s="310">
        <f>S30+U30</f>
        <v>0</v>
      </c>
      <c r="U30" s="310"/>
      <c r="V30" s="67"/>
      <c r="W30" s="67">
        <f t="shared" si="7"/>
        <v>0</v>
      </c>
      <c r="X30" s="310"/>
      <c r="Y30" s="310"/>
      <c r="Z30" s="211"/>
      <c r="AA30" s="402"/>
      <c r="AB30" s="284"/>
      <c r="AC30" s="148"/>
      <c r="AD30" s="310"/>
      <c r="AE30" s="174"/>
      <c r="AF30" s="99"/>
      <c r="AG30" s="284"/>
      <c r="AH30" s="284"/>
      <c r="AI30" s="380"/>
      <c r="AJ30" s="17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 hidden="1">
      <c r="A31" s="891"/>
      <c r="B31" s="165"/>
      <c r="C31" s="98"/>
      <c r="D31" s="173"/>
      <c r="E31" s="310"/>
      <c r="F31" s="173"/>
      <c r="G31" s="100"/>
      <c r="H31" s="99"/>
      <c r="I31" s="98"/>
      <c r="J31" s="98">
        <f t="shared" si="0"/>
        <v>0</v>
      </c>
      <c r="K31" s="99"/>
      <c r="L31" s="99"/>
      <c r="M31" s="99"/>
      <c r="N31" s="99"/>
      <c r="O31" s="99"/>
      <c r="P31" s="99"/>
      <c r="Q31" s="173"/>
      <c r="R31" s="310"/>
      <c r="S31" s="310"/>
      <c r="T31" s="310">
        <f aca="true" t="shared" si="8" ref="T31:T38">S31+U31</f>
        <v>0</v>
      </c>
      <c r="U31" s="310"/>
      <c r="V31" s="310"/>
      <c r="W31" s="310">
        <f t="shared" si="7"/>
        <v>0</v>
      </c>
      <c r="X31" s="310"/>
      <c r="Y31" s="310"/>
      <c r="Z31" s="211"/>
      <c r="AA31" s="402"/>
      <c r="AB31" s="284"/>
      <c r="AC31" s="148"/>
      <c r="AD31" s="310"/>
      <c r="AE31" s="174"/>
      <c r="AF31" s="99"/>
      <c r="AG31" s="284"/>
      <c r="AH31" s="284"/>
      <c r="AI31" s="380"/>
      <c r="AJ31" s="17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 hidden="1">
      <c r="A32" s="891"/>
      <c r="B32" s="165"/>
      <c r="C32" s="98"/>
      <c r="D32" s="173"/>
      <c r="E32" s="310"/>
      <c r="F32" s="173"/>
      <c r="G32" s="100"/>
      <c r="H32" s="99"/>
      <c r="I32" s="98"/>
      <c r="J32" s="98">
        <f t="shared" si="0"/>
        <v>0</v>
      </c>
      <c r="K32" s="99"/>
      <c r="L32" s="99"/>
      <c r="M32" s="99"/>
      <c r="N32" s="99"/>
      <c r="O32" s="99"/>
      <c r="P32" s="99"/>
      <c r="Q32" s="173"/>
      <c r="R32" s="310"/>
      <c r="S32" s="310"/>
      <c r="T32" s="310">
        <f t="shared" si="8"/>
        <v>0</v>
      </c>
      <c r="U32" s="310"/>
      <c r="V32" s="310"/>
      <c r="W32" s="310">
        <f t="shared" si="7"/>
        <v>0</v>
      </c>
      <c r="X32" s="310"/>
      <c r="Y32" s="310"/>
      <c r="Z32" s="211"/>
      <c r="AA32" s="402"/>
      <c r="AB32" s="284"/>
      <c r="AC32" s="148"/>
      <c r="AD32" s="310"/>
      <c r="AE32" s="174"/>
      <c r="AF32" s="99"/>
      <c r="AG32" s="284"/>
      <c r="AH32" s="284"/>
      <c r="AI32" s="380"/>
      <c r="AJ32" s="17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hidden="1">
      <c r="A33" s="891"/>
      <c r="B33" s="165"/>
      <c r="C33" s="98"/>
      <c r="D33" s="173"/>
      <c r="E33" s="310"/>
      <c r="F33" s="173"/>
      <c r="G33" s="100"/>
      <c r="H33" s="99"/>
      <c r="I33" s="98"/>
      <c r="J33" s="98">
        <f t="shared" si="0"/>
        <v>0</v>
      </c>
      <c r="K33" s="99"/>
      <c r="L33" s="99"/>
      <c r="M33" s="99"/>
      <c r="N33" s="99"/>
      <c r="O33" s="99"/>
      <c r="P33" s="99"/>
      <c r="Q33" s="173"/>
      <c r="R33" s="310"/>
      <c r="S33" s="310"/>
      <c r="T33" s="310">
        <f t="shared" si="8"/>
        <v>0</v>
      </c>
      <c r="U33" s="310"/>
      <c r="V33" s="310"/>
      <c r="W33" s="310">
        <f t="shared" si="7"/>
        <v>0</v>
      </c>
      <c r="X33" s="310"/>
      <c r="Y33" s="310"/>
      <c r="Z33" s="211"/>
      <c r="AA33" s="402"/>
      <c r="AB33" s="284"/>
      <c r="AC33" s="148"/>
      <c r="AD33" s="310"/>
      <c r="AE33" s="174"/>
      <c r="AF33" s="99"/>
      <c r="AG33" s="284"/>
      <c r="AH33" s="284"/>
      <c r="AI33" s="380"/>
      <c r="AJ33" s="17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 hidden="1">
      <c r="A34" s="102"/>
      <c r="B34" s="165"/>
      <c r="C34" s="98"/>
      <c r="D34" s="173"/>
      <c r="E34" s="310"/>
      <c r="F34" s="173"/>
      <c r="G34" s="100"/>
      <c r="H34" s="99"/>
      <c r="I34" s="98"/>
      <c r="J34" s="98"/>
      <c r="K34" s="99"/>
      <c r="L34" s="99"/>
      <c r="M34" s="99"/>
      <c r="N34" s="99"/>
      <c r="O34" s="99"/>
      <c r="P34" s="99"/>
      <c r="Q34" s="173"/>
      <c r="R34" s="310"/>
      <c r="S34" s="310"/>
      <c r="T34" s="310">
        <f t="shared" si="8"/>
        <v>0</v>
      </c>
      <c r="U34" s="310"/>
      <c r="V34" s="310"/>
      <c r="W34" s="310"/>
      <c r="X34" s="310"/>
      <c r="Y34" s="310"/>
      <c r="Z34" s="211"/>
      <c r="AA34" s="402"/>
      <c r="AB34" s="284"/>
      <c r="AC34" s="148"/>
      <c r="AD34" s="310"/>
      <c r="AE34" s="174"/>
      <c r="AF34" s="99"/>
      <c r="AG34" s="284"/>
      <c r="AH34" s="284"/>
      <c r="AI34" s="380"/>
      <c r="AJ34" s="17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102"/>
      <c r="B35" s="165"/>
      <c r="C35" s="98"/>
      <c r="D35" s="173"/>
      <c r="E35" s="310"/>
      <c r="F35" s="173"/>
      <c r="G35" s="100"/>
      <c r="H35" s="99"/>
      <c r="I35" s="98"/>
      <c r="J35" s="98"/>
      <c r="K35" s="99"/>
      <c r="L35" s="99"/>
      <c r="M35" s="99"/>
      <c r="N35" s="99"/>
      <c r="O35" s="99"/>
      <c r="P35" s="99"/>
      <c r="Q35" s="173"/>
      <c r="R35" s="310"/>
      <c r="S35" s="310"/>
      <c r="T35" s="310">
        <f t="shared" si="8"/>
        <v>0</v>
      </c>
      <c r="U35" s="310"/>
      <c r="V35" s="310"/>
      <c r="W35" s="310"/>
      <c r="X35" s="310"/>
      <c r="Y35" s="310"/>
      <c r="Z35" s="211"/>
      <c r="AA35" s="402"/>
      <c r="AB35" s="284"/>
      <c r="AC35" s="148"/>
      <c r="AD35" s="310"/>
      <c r="AE35" s="174"/>
      <c r="AF35" s="99"/>
      <c r="AG35" s="284"/>
      <c r="AH35" s="284"/>
      <c r="AI35" s="380"/>
      <c r="AJ35" s="17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hidden="1">
      <c r="A36" s="102"/>
      <c r="B36" s="165"/>
      <c r="C36" s="98"/>
      <c r="D36" s="173"/>
      <c r="E36" s="310"/>
      <c r="F36" s="173"/>
      <c r="G36" s="100"/>
      <c r="H36" s="99"/>
      <c r="I36" s="98"/>
      <c r="J36" s="98"/>
      <c r="K36" s="99"/>
      <c r="L36" s="99"/>
      <c r="M36" s="99"/>
      <c r="N36" s="99"/>
      <c r="O36" s="99"/>
      <c r="P36" s="99"/>
      <c r="Q36" s="173"/>
      <c r="R36" s="310"/>
      <c r="S36" s="310"/>
      <c r="T36" s="310">
        <f t="shared" si="8"/>
        <v>0</v>
      </c>
      <c r="U36" s="310"/>
      <c r="V36" s="310"/>
      <c r="W36" s="310"/>
      <c r="X36" s="310"/>
      <c r="Y36" s="310"/>
      <c r="Z36" s="211"/>
      <c r="AA36" s="402"/>
      <c r="AB36" s="284"/>
      <c r="AC36" s="148"/>
      <c r="AD36" s="310"/>
      <c r="AE36" s="174"/>
      <c r="AF36" s="99"/>
      <c r="AG36" s="284"/>
      <c r="AH36" s="284"/>
      <c r="AI36" s="380"/>
      <c r="AJ36" s="17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 hidden="1">
      <c r="A37" s="102"/>
      <c r="B37" s="165"/>
      <c r="C37" s="98"/>
      <c r="D37" s="173"/>
      <c r="E37" s="310"/>
      <c r="F37" s="173"/>
      <c r="G37" s="100"/>
      <c r="H37" s="99"/>
      <c r="I37" s="98"/>
      <c r="J37" s="98"/>
      <c r="K37" s="99"/>
      <c r="L37" s="99"/>
      <c r="M37" s="99"/>
      <c r="N37" s="99"/>
      <c r="O37" s="99"/>
      <c r="P37" s="99"/>
      <c r="Q37" s="173"/>
      <c r="R37" s="310"/>
      <c r="S37" s="310"/>
      <c r="T37" s="310">
        <f t="shared" si="8"/>
        <v>0</v>
      </c>
      <c r="U37" s="310"/>
      <c r="V37" s="310"/>
      <c r="W37" s="310"/>
      <c r="X37" s="310"/>
      <c r="Y37" s="310"/>
      <c r="Z37" s="211"/>
      <c r="AA37" s="402"/>
      <c r="AB37" s="284"/>
      <c r="AC37" s="148"/>
      <c r="AD37" s="310"/>
      <c r="AE37" s="174"/>
      <c r="AF37" s="99"/>
      <c r="AG37" s="284"/>
      <c r="AH37" s="284"/>
      <c r="AI37" s="380"/>
      <c r="AJ37" s="17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3.5" hidden="1" thickBot="1">
      <c r="A38" s="102"/>
      <c r="B38" s="165"/>
      <c r="C38" s="98"/>
      <c r="D38" s="173"/>
      <c r="E38" s="310"/>
      <c r="F38" s="173"/>
      <c r="G38" s="100"/>
      <c r="H38" s="99"/>
      <c r="I38" s="98"/>
      <c r="J38" s="98">
        <f>K38+O38+P38+Q38+R38</f>
        <v>0</v>
      </c>
      <c r="K38" s="99"/>
      <c r="L38" s="99"/>
      <c r="M38" s="99"/>
      <c r="N38" s="99"/>
      <c r="O38" s="99"/>
      <c r="P38" s="99"/>
      <c r="Q38" s="173"/>
      <c r="R38" s="310"/>
      <c r="S38" s="310"/>
      <c r="T38" s="310">
        <f t="shared" si="8"/>
        <v>0</v>
      </c>
      <c r="U38" s="310"/>
      <c r="V38" s="310"/>
      <c r="W38" s="310">
        <f>J38+U38</f>
        <v>0</v>
      </c>
      <c r="X38" s="310"/>
      <c r="Y38" s="310"/>
      <c r="Z38" s="211"/>
      <c r="AA38" s="402"/>
      <c r="AB38" s="284"/>
      <c r="AC38" s="148"/>
      <c r="AD38" s="310"/>
      <c r="AE38" s="174"/>
      <c r="AF38" s="99"/>
      <c r="AG38" s="284"/>
      <c r="AH38" s="284"/>
      <c r="AI38" s="380"/>
      <c r="AJ38" s="17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3.5" thickBot="1">
      <c r="A39" s="116"/>
      <c r="B39" s="34" t="s">
        <v>37</v>
      </c>
      <c r="C39" s="90">
        <f aca="true" t="shared" si="9" ref="C39:V39">SUM(C26:C38)</f>
        <v>0</v>
      </c>
      <c r="D39" s="138">
        <f t="shared" si="9"/>
        <v>0</v>
      </c>
      <c r="E39" s="140"/>
      <c r="F39" s="138"/>
      <c r="G39" s="197"/>
      <c r="H39" s="91">
        <f t="shared" si="9"/>
        <v>0</v>
      </c>
      <c r="I39" s="90">
        <f t="shared" si="9"/>
        <v>0</v>
      </c>
      <c r="J39" s="90">
        <f t="shared" si="9"/>
        <v>-4903</v>
      </c>
      <c r="K39" s="91">
        <f t="shared" si="9"/>
        <v>0</v>
      </c>
      <c r="L39" s="91">
        <f t="shared" si="9"/>
        <v>0</v>
      </c>
      <c r="M39" s="91"/>
      <c r="N39" s="91">
        <f t="shared" si="9"/>
        <v>0</v>
      </c>
      <c r="O39" s="91">
        <f t="shared" si="9"/>
        <v>0</v>
      </c>
      <c r="P39" s="91">
        <f t="shared" si="9"/>
        <v>0</v>
      </c>
      <c r="Q39" s="138">
        <f t="shared" si="9"/>
        <v>0</v>
      </c>
      <c r="R39" s="140">
        <f t="shared" si="9"/>
        <v>5545</v>
      </c>
      <c r="S39" s="140">
        <f t="shared" si="9"/>
        <v>-10448</v>
      </c>
      <c r="T39" s="140">
        <f t="shared" si="9"/>
        <v>15000</v>
      </c>
      <c r="U39" s="140">
        <f t="shared" si="9"/>
        <v>25448</v>
      </c>
      <c r="V39" s="140">
        <f t="shared" si="9"/>
        <v>0</v>
      </c>
      <c r="W39" s="140">
        <f>U39+J39</f>
        <v>20545</v>
      </c>
      <c r="X39" s="140">
        <f>SUM(X26:X38)</f>
        <v>0</v>
      </c>
      <c r="Y39" s="140">
        <f>SUM(Y26:Y38)</f>
        <v>0</v>
      </c>
      <c r="Z39" s="214"/>
      <c r="AA39" s="401">
        <f>SUM(AA26:AA38)</f>
        <v>20545</v>
      </c>
      <c r="AB39" s="283">
        <f>SUM(AB26:AB38)</f>
        <v>0</v>
      </c>
      <c r="AC39" s="460">
        <f>SUM(AC26:AC38)</f>
        <v>0</v>
      </c>
      <c r="AD39" s="140">
        <f>SUM(AD26:AD38)</f>
        <v>0</v>
      </c>
      <c r="AE39" s="337">
        <f>SUM(AE26:AE38)</f>
        <v>0</v>
      </c>
      <c r="AF39" s="91"/>
      <c r="AG39" s="283"/>
      <c r="AH39" s="283"/>
      <c r="AI39" s="382"/>
      <c r="AJ39" s="337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104">
        <v>3</v>
      </c>
      <c r="B40" s="158" t="s">
        <v>211</v>
      </c>
      <c r="C40" s="105">
        <f>D40+H40</f>
        <v>0</v>
      </c>
      <c r="D40" s="176"/>
      <c r="E40" s="217"/>
      <c r="F40" s="176"/>
      <c r="G40" s="107"/>
      <c r="H40" s="106"/>
      <c r="I40" s="105"/>
      <c r="J40" s="105">
        <f aca="true" t="shared" si="10" ref="J40:J51">K40+O40+P40+Q40+R40+S40</f>
        <v>5076</v>
      </c>
      <c r="K40" s="106">
        <f>L40+N40</f>
        <v>0</v>
      </c>
      <c r="L40" s="106"/>
      <c r="M40" s="106"/>
      <c r="N40" s="106"/>
      <c r="O40" s="106"/>
      <c r="P40" s="106"/>
      <c r="Q40" s="176"/>
      <c r="R40" s="217">
        <v>5076</v>
      </c>
      <c r="S40" s="217"/>
      <c r="T40" s="217">
        <f aca="true" t="shared" si="11" ref="T40:T47">S40+U40</f>
        <v>0</v>
      </c>
      <c r="U40" s="217"/>
      <c r="V40" s="217"/>
      <c r="W40" s="217">
        <f>J40+U40+V40</f>
        <v>5076</v>
      </c>
      <c r="X40" s="217"/>
      <c r="Y40" s="217"/>
      <c r="Z40" s="512"/>
      <c r="AA40" s="403">
        <v>5076</v>
      </c>
      <c r="AB40" s="285"/>
      <c r="AC40" s="461"/>
      <c r="AD40" s="217"/>
      <c r="AE40" s="177"/>
      <c r="AF40" s="106"/>
      <c r="AG40" s="285"/>
      <c r="AH40" s="285"/>
      <c r="AI40" s="384"/>
      <c r="AJ40" s="177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>
      <c r="A41" s="954">
        <v>1</v>
      </c>
      <c r="B41" s="923" t="s">
        <v>213</v>
      </c>
      <c r="C41" s="109">
        <f aca="true" t="shared" si="12" ref="C41:C51">D41+H41</f>
        <v>0</v>
      </c>
      <c r="D41" s="178"/>
      <c r="E41" s="218"/>
      <c r="F41" s="178"/>
      <c r="G41" s="111"/>
      <c r="H41" s="110"/>
      <c r="I41" s="109"/>
      <c r="J41" s="109">
        <f t="shared" si="10"/>
        <v>-3673</v>
      </c>
      <c r="K41" s="110">
        <f>L41+N41</f>
        <v>0</v>
      </c>
      <c r="L41" s="110"/>
      <c r="M41" s="110"/>
      <c r="N41" s="110"/>
      <c r="O41" s="110"/>
      <c r="P41" s="110"/>
      <c r="Q41" s="178"/>
      <c r="R41" s="218"/>
      <c r="S41" s="951">
        <v>-3673</v>
      </c>
      <c r="T41" s="951">
        <f t="shared" si="11"/>
        <v>0</v>
      </c>
      <c r="U41" s="951">
        <v>3673</v>
      </c>
      <c r="V41" s="218"/>
      <c r="W41" s="218">
        <f aca="true" t="shared" si="13" ref="W41:W51">J41+U41+V41</f>
        <v>0</v>
      </c>
      <c r="X41" s="218"/>
      <c r="Y41" s="218"/>
      <c r="Z41" s="513"/>
      <c r="AA41" s="404"/>
      <c r="AB41" s="286"/>
      <c r="AC41" s="462"/>
      <c r="AD41" s="218"/>
      <c r="AE41" s="179"/>
      <c r="AF41" s="110"/>
      <c r="AG41" s="286"/>
      <c r="AH41" s="286"/>
      <c r="AI41" s="385"/>
      <c r="AJ41" s="179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 hidden="1">
      <c r="A42" s="954"/>
      <c r="B42" s="923"/>
      <c r="C42" s="109">
        <f t="shared" si="12"/>
        <v>0</v>
      </c>
      <c r="D42" s="178"/>
      <c r="E42" s="218"/>
      <c r="F42" s="178"/>
      <c r="G42" s="111"/>
      <c r="H42" s="110"/>
      <c r="I42" s="109"/>
      <c r="J42" s="109">
        <f t="shared" si="10"/>
        <v>0</v>
      </c>
      <c r="K42" s="110"/>
      <c r="L42" s="110"/>
      <c r="M42" s="110"/>
      <c r="N42" s="110"/>
      <c r="O42" s="110"/>
      <c r="P42" s="110"/>
      <c r="Q42" s="178"/>
      <c r="R42" s="218"/>
      <c r="S42" s="951"/>
      <c r="T42" s="951">
        <f t="shared" si="11"/>
        <v>0</v>
      </c>
      <c r="U42" s="951"/>
      <c r="V42" s="218"/>
      <c r="W42" s="218">
        <f t="shared" si="13"/>
        <v>0</v>
      </c>
      <c r="X42" s="218"/>
      <c r="Y42" s="218"/>
      <c r="Z42" s="513"/>
      <c r="AA42" s="404"/>
      <c r="AB42" s="286"/>
      <c r="AC42" s="462"/>
      <c r="AD42" s="218"/>
      <c r="AE42" s="179"/>
      <c r="AF42" s="110"/>
      <c r="AG42" s="286"/>
      <c r="AH42" s="286"/>
      <c r="AI42" s="385"/>
      <c r="AJ42" s="179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3.5" thickBot="1">
      <c r="A43" s="820">
        <v>1</v>
      </c>
      <c r="B43" s="821" t="s">
        <v>217</v>
      </c>
      <c r="C43" s="960">
        <f t="shared" si="12"/>
        <v>0</v>
      </c>
      <c r="D43" s="957"/>
      <c r="E43" s="958"/>
      <c r="F43" s="957"/>
      <c r="G43" s="963"/>
      <c r="H43" s="956"/>
      <c r="I43" s="960"/>
      <c r="J43" s="960">
        <f t="shared" si="10"/>
        <v>-34136</v>
      </c>
      <c r="K43" s="965">
        <f>L43</f>
        <v>-12924</v>
      </c>
      <c r="L43" s="965">
        <v>-12924</v>
      </c>
      <c r="M43" s="965"/>
      <c r="N43" s="965">
        <v>0</v>
      </c>
      <c r="O43" s="965">
        <v>-4686</v>
      </c>
      <c r="P43" s="965">
        <v>-226</v>
      </c>
      <c r="Q43" s="966"/>
      <c r="R43" s="967">
        <v>-15300</v>
      </c>
      <c r="S43" s="967">
        <v>-1000</v>
      </c>
      <c r="T43" s="958">
        <f t="shared" si="11"/>
        <v>-7200</v>
      </c>
      <c r="U43" s="958">
        <v>-6200</v>
      </c>
      <c r="V43" s="958"/>
      <c r="W43" s="958">
        <f t="shared" si="13"/>
        <v>-40336</v>
      </c>
      <c r="X43" s="958"/>
      <c r="Y43" s="958"/>
      <c r="Z43" s="964"/>
      <c r="AA43" s="968">
        <v>-40336</v>
      </c>
      <c r="AB43" s="973"/>
      <c r="AC43" s="824">
        <v>-11921</v>
      </c>
      <c r="AD43" s="958"/>
      <c r="AE43" s="969">
        <v>-1003</v>
      </c>
      <c r="AF43" s="110"/>
      <c r="AG43" s="286"/>
      <c r="AH43" s="286"/>
      <c r="AI43" s="385"/>
      <c r="AJ43" s="179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 hidden="1">
      <c r="A44" s="892"/>
      <c r="B44" s="164"/>
      <c r="C44" s="109">
        <f t="shared" si="12"/>
        <v>0</v>
      </c>
      <c r="D44" s="178"/>
      <c r="E44" s="218"/>
      <c r="F44" s="178"/>
      <c r="G44" s="111"/>
      <c r="H44" s="110"/>
      <c r="I44" s="109"/>
      <c r="J44" s="109">
        <f t="shared" si="10"/>
        <v>0</v>
      </c>
      <c r="K44" s="110"/>
      <c r="L44" s="110"/>
      <c r="M44" s="110"/>
      <c r="N44" s="110"/>
      <c r="O44" s="110"/>
      <c r="P44" s="110"/>
      <c r="Q44" s="178"/>
      <c r="R44" s="218"/>
      <c r="S44" s="218"/>
      <c r="T44" s="218">
        <f t="shared" si="11"/>
        <v>0</v>
      </c>
      <c r="U44" s="218"/>
      <c r="V44" s="218"/>
      <c r="W44" s="218">
        <f t="shared" si="13"/>
        <v>0</v>
      </c>
      <c r="X44" s="218"/>
      <c r="Y44" s="218"/>
      <c r="Z44" s="513"/>
      <c r="AA44" s="404"/>
      <c r="AB44" s="286"/>
      <c r="AC44" s="462"/>
      <c r="AD44" s="218"/>
      <c r="AE44" s="179"/>
      <c r="AF44" s="110"/>
      <c r="AG44" s="286"/>
      <c r="AH44" s="286"/>
      <c r="AI44" s="385"/>
      <c r="AJ44" s="179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 hidden="1">
      <c r="A45" s="892"/>
      <c r="B45" s="164"/>
      <c r="C45" s="109">
        <f t="shared" si="12"/>
        <v>0</v>
      </c>
      <c r="D45" s="178"/>
      <c r="E45" s="218"/>
      <c r="F45" s="178"/>
      <c r="G45" s="111"/>
      <c r="H45" s="110"/>
      <c r="I45" s="109"/>
      <c r="J45" s="109">
        <f t="shared" si="10"/>
        <v>0</v>
      </c>
      <c r="K45" s="110">
        <f>L45+N45</f>
        <v>0</v>
      </c>
      <c r="L45" s="110"/>
      <c r="M45" s="110"/>
      <c r="N45" s="110"/>
      <c r="O45" s="110"/>
      <c r="P45" s="110"/>
      <c r="Q45" s="178"/>
      <c r="R45" s="218"/>
      <c r="S45" s="218"/>
      <c r="T45" s="218">
        <f t="shared" si="11"/>
        <v>0</v>
      </c>
      <c r="U45" s="218"/>
      <c r="V45" s="218"/>
      <c r="W45" s="218">
        <f t="shared" si="13"/>
        <v>0</v>
      </c>
      <c r="X45" s="218"/>
      <c r="Y45" s="218"/>
      <c r="Z45" s="513"/>
      <c r="AA45" s="404"/>
      <c r="AB45" s="286"/>
      <c r="AC45" s="462"/>
      <c r="AD45" s="218"/>
      <c r="AE45" s="179"/>
      <c r="AF45" s="110"/>
      <c r="AG45" s="286"/>
      <c r="AH45" s="286"/>
      <c r="AI45" s="385"/>
      <c r="AJ45" s="179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 hidden="1">
      <c r="A46" s="196"/>
      <c r="B46" s="164"/>
      <c r="C46" s="109">
        <f t="shared" si="12"/>
        <v>0</v>
      </c>
      <c r="D46" s="178"/>
      <c r="E46" s="218"/>
      <c r="F46" s="178"/>
      <c r="G46" s="111"/>
      <c r="H46" s="110"/>
      <c r="I46" s="109"/>
      <c r="J46" s="109">
        <f t="shared" si="10"/>
        <v>0</v>
      </c>
      <c r="K46" s="110"/>
      <c r="L46" s="110"/>
      <c r="M46" s="110"/>
      <c r="N46" s="110"/>
      <c r="O46" s="110"/>
      <c r="P46" s="110"/>
      <c r="Q46" s="178"/>
      <c r="R46" s="218"/>
      <c r="S46" s="218"/>
      <c r="T46" s="218">
        <f t="shared" si="11"/>
        <v>0</v>
      </c>
      <c r="U46" s="218"/>
      <c r="V46" s="218"/>
      <c r="W46" s="218">
        <f t="shared" si="13"/>
        <v>0</v>
      </c>
      <c r="X46" s="218"/>
      <c r="Y46" s="218"/>
      <c r="Z46" s="513"/>
      <c r="AA46" s="404"/>
      <c r="AB46" s="286"/>
      <c r="AC46" s="462"/>
      <c r="AD46" s="218"/>
      <c r="AE46" s="179"/>
      <c r="AF46" s="110"/>
      <c r="AG46" s="286"/>
      <c r="AH46" s="286"/>
      <c r="AI46" s="385"/>
      <c r="AJ46" s="179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 hidden="1">
      <c r="A47" s="196"/>
      <c r="B47" s="164"/>
      <c r="C47" s="109">
        <f t="shared" si="12"/>
        <v>0</v>
      </c>
      <c r="D47" s="178"/>
      <c r="E47" s="218"/>
      <c r="F47" s="178"/>
      <c r="G47" s="111"/>
      <c r="H47" s="110"/>
      <c r="I47" s="109"/>
      <c r="J47" s="109">
        <f t="shared" si="10"/>
        <v>0</v>
      </c>
      <c r="K47" s="110"/>
      <c r="L47" s="110"/>
      <c r="M47" s="110"/>
      <c r="N47" s="110"/>
      <c r="O47" s="110"/>
      <c r="P47" s="110"/>
      <c r="Q47" s="178"/>
      <c r="R47" s="218"/>
      <c r="S47" s="218"/>
      <c r="T47" s="218">
        <f t="shared" si="11"/>
        <v>0</v>
      </c>
      <c r="U47" s="218"/>
      <c r="V47" s="218"/>
      <c r="W47" s="218">
        <f t="shared" si="13"/>
        <v>0</v>
      </c>
      <c r="X47" s="218"/>
      <c r="Y47" s="218"/>
      <c r="Z47" s="513"/>
      <c r="AA47" s="404"/>
      <c r="AB47" s="286"/>
      <c r="AC47" s="462"/>
      <c r="AD47" s="218"/>
      <c r="AE47" s="179"/>
      <c r="AF47" s="110"/>
      <c r="AG47" s="286"/>
      <c r="AH47" s="286"/>
      <c r="AI47" s="385"/>
      <c r="AJ47" s="179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 hidden="1">
      <c r="A48" s="196"/>
      <c r="B48" s="164"/>
      <c r="C48" s="109">
        <f t="shared" si="12"/>
        <v>0</v>
      </c>
      <c r="D48" s="178"/>
      <c r="E48" s="218"/>
      <c r="F48" s="178"/>
      <c r="G48" s="111"/>
      <c r="H48" s="110"/>
      <c r="I48" s="109"/>
      <c r="J48" s="109">
        <f t="shared" si="10"/>
        <v>0</v>
      </c>
      <c r="K48" s="110"/>
      <c r="L48" s="110"/>
      <c r="M48" s="110"/>
      <c r="N48" s="110"/>
      <c r="O48" s="110"/>
      <c r="P48" s="110"/>
      <c r="Q48" s="178"/>
      <c r="R48" s="218"/>
      <c r="S48" s="218"/>
      <c r="T48" s="218"/>
      <c r="U48" s="218"/>
      <c r="V48" s="218"/>
      <c r="W48" s="218">
        <f t="shared" si="13"/>
        <v>0</v>
      </c>
      <c r="X48" s="218"/>
      <c r="Y48" s="218"/>
      <c r="Z48" s="513"/>
      <c r="AA48" s="404"/>
      <c r="AB48" s="286"/>
      <c r="AC48" s="462"/>
      <c r="AD48" s="218"/>
      <c r="AE48" s="179"/>
      <c r="AF48" s="110"/>
      <c r="AG48" s="286"/>
      <c r="AH48" s="286"/>
      <c r="AI48" s="385"/>
      <c r="AJ48" s="179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 hidden="1">
      <c r="A49" s="196"/>
      <c r="B49" s="164"/>
      <c r="C49" s="109"/>
      <c r="D49" s="178"/>
      <c r="E49" s="218"/>
      <c r="F49" s="178"/>
      <c r="G49" s="111"/>
      <c r="H49" s="110"/>
      <c r="I49" s="109"/>
      <c r="J49" s="109">
        <f t="shared" si="10"/>
        <v>0</v>
      </c>
      <c r="K49" s="110">
        <f>L49+N49</f>
        <v>0</v>
      </c>
      <c r="L49" s="110"/>
      <c r="M49" s="110"/>
      <c r="N49" s="110"/>
      <c r="O49" s="110"/>
      <c r="P49" s="110"/>
      <c r="Q49" s="178"/>
      <c r="R49" s="218"/>
      <c r="S49" s="218"/>
      <c r="T49" s="218"/>
      <c r="U49" s="218"/>
      <c r="V49" s="218"/>
      <c r="W49" s="218">
        <f t="shared" si="13"/>
        <v>0</v>
      </c>
      <c r="X49" s="218"/>
      <c r="Y49" s="218"/>
      <c r="Z49" s="513"/>
      <c r="AA49" s="404"/>
      <c r="AB49" s="286"/>
      <c r="AC49" s="462"/>
      <c r="AD49" s="218"/>
      <c r="AE49" s="179"/>
      <c r="AF49" s="110"/>
      <c r="AG49" s="286"/>
      <c r="AH49" s="286"/>
      <c r="AI49" s="385"/>
      <c r="AJ49" s="179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 hidden="1">
      <c r="A50" s="196"/>
      <c r="B50" s="164"/>
      <c r="C50" s="109"/>
      <c r="D50" s="178"/>
      <c r="E50" s="218"/>
      <c r="F50" s="178"/>
      <c r="G50" s="111"/>
      <c r="H50" s="110"/>
      <c r="I50" s="109"/>
      <c r="J50" s="109">
        <f t="shared" si="10"/>
        <v>0</v>
      </c>
      <c r="K50" s="110"/>
      <c r="L50" s="110"/>
      <c r="M50" s="110"/>
      <c r="N50" s="110"/>
      <c r="O50" s="110"/>
      <c r="P50" s="110"/>
      <c r="Q50" s="178"/>
      <c r="R50" s="218"/>
      <c r="S50" s="218"/>
      <c r="T50" s="218"/>
      <c r="U50" s="218"/>
      <c r="V50" s="218"/>
      <c r="W50" s="218">
        <f t="shared" si="13"/>
        <v>0</v>
      </c>
      <c r="X50" s="218"/>
      <c r="Y50" s="218"/>
      <c r="Z50" s="513"/>
      <c r="AA50" s="404"/>
      <c r="AB50" s="286"/>
      <c r="AC50" s="462"/>
      <c r="AD50" s="218"/>
      <c r="AE50" s="179"/>
      <c r="AF50" s="110"/>
      <c r="AG50" s="286"/>
      <c r="AH50" s="286"/>
      <c r="AI50" s="385"/>
      <c r="AJ50" s="179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3.5" hidden="1" thickBot="1">
      <c r="A51" s="97"/>
      <c r="B51" s="164"/>
      <c r="C51" s="109">
        <f t="shared" si="12"/>
        <v>0</v>
      </c>
      <c r="D51" s="178"/>
      <c r="E51" s="218"/>
      <c r="F51" s="178"/>
      <c r="G51" s="111"/>
      <c r="H51" s="110"/>
      <c r="I51" s="109"/>
      <c r="J51" s="109">
        <f t="shared" si="10"/>
        <v>0</v>
      </c>
      <c r="K51" s="110"/>
      <c r="L51" s="110"/>
      <c r="M51" s="110"/>
      <c r="N51" s="110"/>
      <c r="O51" s="110"/>
      <c r="P51" s="110"/>
      <c r="Q51" s="178"/>
      <c r="R51" s="218"/>
      <c r="S51" s="218"/>
      <c r="T51" s="218"/>
      <c r="U51" s="218"/>
      <c r="V51" s="218"/>
      <c r="W51" s="218">
        <f t="shared" si="13"/>
        <v>0</v>
      </c>
      <c r="X51" s="218"/>
      <c r="Y51" s="218"/>
      <c r="Z51" s="513"/>
      <c r="AA51" s="404"/>
      <c r="AB51" s="286"/>
      <c r="AC51" s="462"/>
      <c r="AD51" s="218"/>
      <c r="AE51" s="179"/>
      <c r="AF51" s="110"/>
      <c r="AG51" s="286"/>
      <c r="AH51" s="286"/>
      <c r="AI51" s="385"/>
      <c r="AJ51" s="179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7" ht="13.5" thickBot="1">
      <c r="A52" s="116"/>
      <c r="B52" s="34" t="s">
        <v>38</v>
      </c>
      <c r="C52" s="85">
        <f>SUM(C40:C51)</f>
        <v>0</v>
      </c>
      <c r="D52" s="137">
        <f>SUM(D40:D51)</f>
        <v>0</v>
      </c>
      <c r="E52" s="87"/>
      <c r="F52" s="137"/>
      <c r="G52" s="88"/>
      <c r="H52" s="85">
        <f>SUM(H40:H51)</f>
        <v>0</v>
      </c>
      <c r="I52" s="85">
        <f>SUM(I40:I51)</f>
        <v>0</v>
      </c>
      <c r="J52" s="85">
        <f>SUM(J40:J51)+34136</f>
        <v>1403</v>
      </c>
      <c r="K52" s="85">
        <f>SUM(K40:K51)+12924</f>
        <v>0</v>
      </c>
      <c r="L52" s="85">
        <f>SUM(L40:L51)+12924</f>
        <v>0</v>
      </c>
      <c r="M52" s="85"/>
      <c r="N52" s="85">
        <f>SUM(N40:N51)</f>
        <v>0</v>
      </c>
      <c r="O52" s="85">
        <f>SUM(O40:O51)+4686</f>
        <v>0</v>
      </c>
      <c r="P52" s="85">
        <f>SUM(P40:P51)+226</f>
        <v>0</v>
      </c>
      <c r="Q52" s="137">
        <f>SUM(Q40:Q51)</f>
        <v>0</v>
      </c>
      <c r="R52" s="87">
        <f>SUM(R40:R51)+15300</f>
        <v>5076</v>
      </c>
      <c r="S52" s="87">
        <f>SUM(S40:S51)+1000</f>
        <v>-3673</v>
      </c>
      <c r="T52" s="87">
        <f>SUM(T40:T51)+7200</f>
        <v>0</v>
      </c>
      <c r="U52" s="87">
        <f>SUM(U40:U51)+6200</f>
        <v>3673</v>
      </c>
      <c r="V52" s="87">
        <f>SUM(V40:V51)</f>
        <v>0</v>
      </c>
      <c r="W52" s="87">
        <f>SUM(W40:W51)+40336</f>
        <v>5076</v>
      </c>
      <c r="X52" s="87">
        <f>SUM(X40:X51)</f>
        <v>0</v>
      </c>
      <c r="Y52" s="87">
        <f>SUM(Y40:Y51)</f>
        <v>0</v>
      </c>
      <c r="Z52" s="175">
        <f>SUM(Z40:Z51)</f>
        <v>0</v>
      </c>
      <c r="AA52" s="94">
        <f>SUM(AA40:AA51)+40336</f>
        <v>5076</v>
      </c>
      <c r="AB52" s="87">
        <f>SUM(AB40:AB51)</f>
        <v>0</v>
      </c>
      <c r="AC52" s="86">
        <f>SUM(AC40:AC51)+11921</f>
        <v>0</v>
      </c>
      <c r="AD52" s="87">
        <f>SUM(AD40:AD51)</f>
        <v>0</v>
      </c>
      <c r="AE52" s="117">
        <f>SUM(AE40:AE51)+1003</f>
        <v>0</v>
      </c>
      <c r="AF52" s="86"/>
      <c r="AG52" s="87"/>
      <c r="AH52" s="87"/>
      <c r="AI52" s="175"/>
      <c r="AJ52" s="117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2.75">
      <c r="A53" s="104">
        <v>3</v>
      </c>
      <c r="B53" s="158" t="s">
        <v>239</v>
      </c>
      <c r="C53" s="105">
        <f aca="true" t="shared" si="14" ref="C53:C65">D53+H53</f>
        <v>0</v>
      </c>
      <c r="D53" s="176"/>
      <c r="E53" s="217"/>
      <c r="F53" s="176"/>
      <c r="G53" s="107"/>
      <c r="H53" s="106"/>
      <c r="I53" s="105"/>
      <c r="J53" s="109">
        <f aca="true" t="shared" si="15" ref="J53:J65">K53+O53+P53+Q53+R53+S53</f>
        <v>-5600</v>
      </c>
      <c r="K53" s="106">
        <f>L53+N53</f>
        <v>0</v>
      </c>
      <c r="L53" s="106"/>
      <c r="M53" s="106"/>
      <c r="N53" s="106"/>
      <c r="O53" s="106"/>
      <c r="P53" s="106"/>
      <c r="Q53" s="176"/>
      <c r="R53" s="980">
        <v>-6020</v>
      </c>
      <c r="S53" s="980">
        <v>420</v>
      </c>
      <c r="T53" s="217">
        <f>S53+U53</f>
        <v>6020</v>
      </c>
      <c r="U53" s="217">
        <v>5600</v>
      </c>
      <c r="V53" s="338"/>
      <c r="W53" s="218">
        <f>J53+U53</f>
        <v>0</v>
      </c>
      <c r="X53" s="217"/>
      <c r="Y53" s="217"/>
      <c r="Z53" s="512"/>
      <c r="AA53" s="403"/>
      <c r="AB53" s="285"/>
      <c r="AC53" s="461"/>
      <c r="AD53" s="217"/>
      <c r="AE53" s="177"/>
      <c r="AF53" s="106"/>
      <c r="AG53" s="285"/>
      <c r="AH53" s="285"/>
      <c r="AI53" s="384"/>
      <c r="AJ53" s="177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3.5" thickBot="1">
      <c r="A54" s="892"/>
      <c r="B54" s="56"/>
      <c r="C54" s="109">
        <f t="shared" si="14"/>
        <v>0</v>
      </c>
      <c r="D54" s="213"/>
      <c r="E54" s="338"/>
      <c r="F54" s="213"/>
      <c r="G54" s="120"/>
      <c r="H54" s="119"/>
      <c r="I54" s="118"/>
      <c r="J54" s="109">
        <f t="shared" si="15"/>
        <v>0</v>
      </c>
      <c r="K54" s="119">
        <f aca="true" t="shared" si="16" ref="K54:K65">L54+N54</f>
        <v>0</v>
      </c>
      <c r="L54" s="119"/>
      <c r="M54" s="119"/>
      <c r="N54" s="119"/>
      <c r="O54" s="119"/>
      <c r="P54" s="119"/>
      <c r="Q54" s="213"/>
      <c r="R54" s="338"/>
      <c r="S54" s="338"/>
      <c r="T54" s="338">
        <f aca="true" t="shared" si="17" ref="T54:T65">S54+U54</f>
        <v>0</v>
      </c>
      <c r="U54" s="338"/>
      <c r="V54" s="338"/>
      <c r="W54" s="338">
        <f aca="true" t="shared" si="18" ref="W54:W61">J54+U54</f>
        <v>0</v>
      </c>
      <c r="X54" s="338"/>
      <c r="Y54" s="338"/>
      <c r="Z54" s="514"/>
      <c r="AA54" s="405"/>
      <c r="AB54" s="339"/>
      <c r="AC54" s="463"/>
      <c r="AD54" s="338"/>
      <c r="AE54" s="340"/>
      <c r="AF54" s="119"/>
      <c r="AG54" s="339"/>
      <c r="AH54" s="339"/>
      <c r="AI54" s="386"/>
      <c r="AJ54" s="340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 hidden="1">
      <c r="A55" s="889"/>
      <c r="B55" s="56"/>
      <c r="C55" s="109">
        <f t="shared" si="14"/>
        <v>0</v>
      </c>
      <c r="D55" s="213"/>
      <c r="E55" s="338"/>
      <c r="F55" s="213"/>
      <c r="G55" s="120"/>
      <c r="H55" s="119"/>
      <c r="I55" s="118"/>
      <c r="J55" s="109">
        <f t="shared" si="15"/>
        <v>0</v>
      </c>
      <c r="K55" s="119">
        <f t="shared" si="16"/>
        <v>0</v>
      </c>
      <c r="L55" s="119"/>
      <c r="M55" s="119"/>
      <c r="N55" s="119"/>
      <c r="O55" s="119"/>
      <c r="P55" s="119"/>
      <c r="Q55" s="213"/>
      <c r="R55" s="338"/>
      <c r="S55" s="338"/>
      <c r="T55" s="338">
        <f t="shared" si="17"/>
        <v>0</v>
      </c>
      <c r="U55" s="338"/>
      <c r="V55" s="338"/>
      <c r="W55" s="218">
        <f t="shared" si="18"/>
        <v>0</v>
      </c>
      <c r="X55" s="338"/>
      <c r="Y55" s="338"/>
      <c r="Z55" s="514"/>
      <c r="AA55" s="405"/>
      <c r="AB55" s="339"/>
      <c r="AC55" s="463"/>
      <c r="AD55" s="338"/>
      <c r="AE55" s="340"/>
      <c r="AF55" s="119"/>
      <c r="AG55" s="339"/>
      <c r="AH55" s="339"/>
      <c r="AI55" s="386"/>
      <c r="AJ55" s="340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2.75" hidden="1">
      <c r="A56" s="1081"/>
      <c r="B56" s="182"/>
      <c r="C56" s="109">
        <f>D56+H56</f>
        <v>0</v>
      </c>
      <c r="D56" s="213"/>
      <c r="E56" s="338"/>
      <c r="F56" s="213"/>
      <c r="G56" s="120"/>
      <c r="H56" s="119"/>
      <c r="I56" s="118"/>
      <c r="J56" s="109">
        <f t="shared" si="15"/>
        <v>0</v>
      </c>
      <c r="K56" s="119">
        <f t="shared" si="16"/>
        <v>0</v>
      </c>
      <c r="L56" s="119"/>
      <c r="M56" s="119"/>
      <c r="N56" s="119"/>
      <c r="O56" s="119"/>
      <c r="P56" s="119"/>
      <c r="Q56" s="213"/>
      <c r="R56" s="338"/>
      <c r="S56" s="338"/>
      <c r="T56" s="338">
        <f>S56+U56</f>
        <v>0</v>
      </c>
      <c r="U56" s="338"/>
      <c r="V56" s="338"/>
      <c r="W56" s="218">
        <f>J56+U56</f>
        <v>0</v>
      </c>
      <c r="X56" s="338"/>
      <c r="Y56" s="338"/>
      <c r="Z56" s="514"/>
      <c r="AA56" s="405"/>
      <c r="AB56" s="339"/>
      <c r="AC56" s="463"/>
      <c r="AD56" s="338"/>
      <c r="AE56" s="340"/>
      <c r="AF56" s="119"/>
      <c r="AG56" s="339"/>
      <c r="AH56" s="339"/>
      <c r="AI56" s="386"/>
      <c r="AJ56" s="340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 hidden="1">
      <c r="A57" s="889"/>
      <c r="B57" s="182"/>
      <c r="C57" s="109">
        <f>D57+H57</f>
        <v>0</v>
      </c>
      <c r="D57" s="213"/>
      <c r="E57" s="338"/>
      <c r="F57" s="213"/>
      <c r="G57" s="120"/>
      <c r="H57" s="119"/>
      <c r="I57" s="118"/>
      <c r="J57" s="109">
        <f t="shared" si="15"/>
        <v>0</v>
      </c>
      <c r="K57" s="119">
        <f t="shared" si="16"/>
        <v>0</v>
      </c>
      <c r="L57" s="119"/>
      <c r="M57" s="119"/>
      <c r="N57" s="119"/>
      <c r="O57" s="119"/>
      <c r="P57" s="119"/>
      <c r="Q57" s="213"/>
      <c r="R57" s="338"/>
      <c r="S57" s="338"/>
      <c r="T57" s="338">
        <f>S57+U57</f>
        <v>0</v>
      </c>
      <c r="U57" s="338"/>
      <c r="V57" s="338"/>
      <c r="W57" s="218">
        <f>J57+U57</f>
        <v>0</v>
      </c>
      <c r="X57" s="338"/>
      <c r="Y57" s="338"/>
      <c r="Z57" s="514"/>
      <c r="AA57" s="405"/>
      <c r="AB57" s="339"/>
      <c r="AC57" s="463"/>
      <c r="AD57" s="338"/>
      <c r="AE57" s="340"/>
      <c r="AF57" s="119"/>
      <c r="AG57" s="339"/>
      <c r="AH57" s="339"/>
      <c r="AI57" s="386"/>
      <c r="AJ57" s="340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2.75" hidden="1">
      <c r="A58" s="889"/>
      <c r="B58" s="182"/>
      <c r="C58" s="109">
        <f>D58+H58</f>
        <v>0</v>
      </c>
      <c r="D58" s="213"/>
      <c r="E58" s="338"/>
      <c r="F58" s="213"/>
      <c r="G58" s="120"/>
      <c r="H58" s="119"/>
      <c r="I58" s="118"/>
      <c r="J58" s="109">
        <f t="shared" si="15"/>
        <v>0</v>
      </c>
      <c r="K58" s="119">
        <f t="shared" si="16"/>
        <v>0</v>
      </c>
      <c r="L58" s="119"/>
      <c r="M58" s="119"/>
      <c r="N58" s="119"/>
      <c r="O58" s="119"/>
      <c r="P58" s="119"/>
      <c r="Q58" s="213"/>
      <c r="R58" s="338"/>
      <c r="S58" s="338"/>
      <c r="T58" s="338">
        <f>S58+U58</f>
        <v>0</v>
      </c>
      <c r="U58" s="338"/>
      <c r="V58" s="338"/>
      <c r="W58" s="218">
        <f>J58+U58</f>
        <v>0</v>
      </c>
      <c r="X58" s="338"/>
      <c r="Y58" s="338"/>
      <c r="Z58" s="514"/>
      <c r="AA58" s="405"/>
      <c r="AB58" s="339"/>
      <c r="AC58" s="463"/>
      <c r="AD58" s="338"/>
      <c r="AE58" s="340"/>
      <c r="AF58" s="119"/>
      <c r="AG58" s="339"/>
      <c r="AH58" s="339"/>
      <c r="AI58" s="386"/>
      <c r="AJ58" s="340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 hidden="1">
      <c r="A59" s="221"/>
      <c r="B59" s="182"/>
      <c r="C59" s="109">
        <f>D59+H59</f>
        <v>0</v>
      </c>
      <c r="D59" s="213"/>
      <c r="E59" s="338"/>
      <c r="F59" s="213"/>
      <c r="G59" s="120"/>
      <c r="H59" s="119"/>
      <c r="I59" s="118"/>
      <c r="J59" s="109">
        <f t="shared" si="15"/>
        <v>0</v>
      </c>
      <c r="K59" s="119">
        <f t="shared" si="16"/>
        <v>0</v>
      </c>
      <c r="L59" s="119"/>
      <c r="M59" s="119"/>
      <c r="N59" s="119"/>
      <c r="O59" s="119"/>
      <c r="P59" s="119"/>
      <c r="Q59" s="213"/>
      <c r="R59" s="338"/>
      <c r="S59" s="338"/>
      <c r="T59" s="338">
        <f>S59+U59</f>
        <v>0</v>
      </c>
      <c r="U59" s="338"/>
      <c r="V59" s="338"/>
      <c r="W59" s="218">
        <f>J59+U59</f>
        <v>0</v>
      </c>
      <c r="X59" s="338"/>
      <c r="Y59" s="338"/>
      <c r="Z59" s="514"/>
      <c r="AA59" s="405"/>
      <c r="AB59" s="339"/>
      <c r="AC59" s="463"/>
      <c r="AD59" s="338"/>
      <c r="AE59" s="340"/>
      <c r="AF59" s="119"/>
      <c r="AG59" s="339"/>
      <c r="AH59" s="339"/>
      <c r="AI59" s="386"/>
      <c r="AJ59" s="340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 hidden="1">
      <c r="A60" s="889"/>
      <c r="B60" s="182"/>
      <c r="C60" s="109">
        <f t="shared" si="14"/>
        <v>0</v>
      </c>
      <c r="D60" s="213"/>
      <c r="E60" s="338"/>
      <c r="F60" s="213"/>
      <c r="G60" s="120"/>
      <c r="H60" s="119"/>
      <c r="I60" s="118"/>
      <c r="J60" s="109">
        <f t="shared" si="15"/>
        <v>0</v>
      </c>
      <c r="K60" s="119">
        <f t="shared" si="16"/>
        <v>0</v>
      </c>
      <c r="L60" s="119"/>
      <c r="M60" s="119"/>
      <c r="N60" s="119"/>
      <c r="O60" s="119"/>
      <c r="P60" s="119"/>
      <c r="Q60" s="213"/>
      <c r="R60" s="338"/>
      <c r="S60" s="338"/>
      <c r="T60" s="338">
        <f t="shared" si="17"/>
        <v>0</v>
      </c>
      <c r="U60" s="338"/>
      <c r="V60" s="338"/>
      <c r="W60" s="218">
        <f t="shared" si="18"/>
        <v>0</v>
      </c>
      <c r="X60" s="338"/>
      <c r="Y60" s="338"/>
      <c r="Z60" s="514"/>
      <c r="AA60" s="406"/>
      <c r="AB60" s="341"/>
      <c r="AC60" s="464"/>
      <c r="AD60" s="338"/>
      <c r="AE60" s="340"/>
      <c r="AF60" s="119"/>
      <c r="AG60" s="341"/>
      <c r="AH60" s="341"/>
      <c r="AI60" s="387"/>
      <c r="AJ60" s="340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 hidden="1">
      <c r="A61" s="1030"/>
      <c r="B61" s="182"/>
      <c r="C61" s="109">
        <f t="shared" si="14"/>
        <v>0</v>
      </c>
      <c r="D61" s="213"/>
      <c r="E61" s="338"/>
      <c r="F61" s="213"/>
      <c r="G61" s="120"/>
      <c r="H61" s="119"/>
      <c r="I61" s="118"/>
      <c r="J61" s="109">
        <f t="shared" si="15"/>
        <v>0</v>
      </c>
      <c r="K61" s="119">
        <f t="shared" si="16"/>
        <v>0</v>
      </c>
      <c r="L61" s="119"/>
      <c r="M61" s="119"/>
      <c r="N61" s="119"/>
      <c r="O61" s="119"/>
      <c r="P61" s="119"/>
      <c r="Q61" s="213"/>
      <c r="R61" s="338"/>
      <c r="S61" s="338"/>
      <c r="T61" s="338">
        <f t="shared" si="17"/>
        <v>0</v>
      </c>
      <c r="U61" s="338"/>
      <c r="V61" s="338"/>
      <c r="W61" s="218">
        <f t="shared" si="18"/>
        <v>0</v>
      </c>
      <c r="X61" s="338"/>
      <c r="Y61" s="338"/>
      <c r="Z61" s="514"/>
      <c r="AA61" s="405"/>
      <c r="AB61" s="339"/>
      <c r="AC61" s="463"/>
      <c r="AD61" s="338"/>
      <c r="AE61" s="340"/>
      <c r="AF61" s="119"/>
      <c r="AG61" s="339"/>
      <c r="AH61" s="339"/>
      <c r="AI61" s="386"/>
      <c r="AJ61" s="340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 hidden="1">
      <c r="A62" s="221"/>
      <c r="B62" s="182"/>
      <c r="C62" s="109">
        <f t="shared" si="14"/>
        <v>0</v>
      </c>
      <c r="D62" s="178"/>
      <c r="E62" s="218"/>
      <c r="F62" s="178"/>
      <c r="G62" s="111"/>
      <c r="H62" s="110"/>
      <c r="I62" s="109"/>
      <c r="J62" s="109">
        <f t="shared" si="15"/>
        <v>0</v>
      </c>
      <c r="K62" s="119">
        <f t="shared" si="16"/>
        <v>0</v>
      </c>
      <c r="L62" s="119"/>
      <c r="M62" s="119"/>
      <c r="N62" s="119"/>
      <c r="O62" s="110"/>
      <c r="P62" s="110"/>
      <c r="Q62" s="178"/>
      <c r="R62" s="218"/>
      <c r="S62" s="218"/>
      <c r="T62" s="218">
        <f t="shared" si="17"/>
        <v>0</v>
      </c>
      <c r="U62" s="218"/>
      <c r="V62" s="218"/>
      <c r="W62" s="218">
        <f>J62+U62</f>
        <v>0</v>
      </c>
      <c r="X62" s="218"/>
      <c r="Y62" s="218"/>
      <c r="Z62" s="513"/>
      <c r="AA62" s="404"/>
      <c r="AB62" s="286"/>
      <c r="AC62" s="462"/>
      <c r="AD62" s="218"/>
      <c r="AE62" s="179"/>
      <c r="AF62" s="110"/>
      <c r="AG62" s="286"/>
      <c r="AH62" s="286"/>
      <c r="AI62" s="385"/>
      <c r="AJ62" s="179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 hidden="1">
      <c r="A63" s="890"/>
      <c r="B63" s="182"/>
      <c r="C63" s="109">
        <f t="shared" si="14"/>
        <v>0</v>
      </c>
      <c r="D63" s="178"/>
      <c r="E63" s="218"/>
      <c r="F63" s="178"/>
      <c r="G63" s="111"/>
      <c r="H63" s="110"/>
      <c r="I63" s="109"/>
      <c r="J63" s="109">
        <f t="shared" si="15"/>
        <v>0</v>
      </c>
      <c r="K63" s="119">
        <f t="shared" si="16"/>
        <v>0</v>
      </c>
      <c r="L63" s="119"/>
      <c r="M63" s="119"/>
      <c r="N63" s="119"/>
      <c r="O63" s="110"/>
      <c r="P63" s="110"/>
      <c r="Q63" s="178"/>
      <c r="R63" s="218"/>
      <c r="S63" s="218"/>
      <c r="T63" s="218">
        <f t="shared" si="17"/>
        <v>0</v>
      </c>
      <c r="U63" s="218"/>
      <c r="V63" s="218"/>
      <c r="W63" s="218">
        <f>J63+U63</f>
        <v>0</v>
      </c>
      <c r="X63" s="218"/>
      <c r="Y63" s="218"/>
      <c r="Z63" s="513"/>
      <c r="AA63" s="404"/>
      <c r="AB63" s="286"/>
      <c r="AC63" s="462"/>
      <c r="AD63" s="218"/>
      <c r="AE63" s="179"/>
      <c r="AF63" s="110"/>
      <c r="AG63" s="286"/>
      <c r="AH63" s="286"/>
      <c r="AI63" s="385"/>
      <c r="AJ63" s="179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2.75" hidden="1">
      <c r="A64" s="892"/>
      <c r="B64" s="182"/>
      <c r="C64" s="183">
        <f t="shared" si="14"/>
        <v>0</v>
      </c>
      <c r="D64" s="180"/>
      <c r="E64" s="342"/>
      <c r="F64" s="180"/>
      <c r="G64" s="186"/>
      <c r="H64" s="184"/>
      <c r="I64" s="183"/>
      <c r="J64" s="183">
        <f t="shared" si="15"/>
        <v>0</v>
      </c>
      <c r="K64" s="119">
        <f t="shared" si="16"/>
        <v>0</v>
      </c>
      <c r="L64" s="119"/>
      <c r="M64" s="119"/>
      <c r="N64" s="119"/>
      <c r="O64" s="184"/>
      <c r="P64" s="184"/>
      <c r="Q64" s="180"/>
      <c r="R64" s="342"/>
      <c r="S64" s="342"/>
      <c r="T64" s="342">
        <f>U64+S64</f>
        <v>0</v>
      </c>
      <c r="U64" s="342"/>
      <c r="V64" s="342"/>
      <c r="W64" s="342">
        <f>J64+U64</f>
        <v>0</v>
      </c>
      <c r="X64" s="342"/>
      <c r="Y64" s="342"/>
      <c r="Z64" s="515"/>
      <c r="AA64" s="407"/>
      <c r="AB64" s="343"/>
      <c r="AC64" s="465"/>
      <c r="AD64" s="342"/>
      <c r="AE64" s="181"/>
      <c r="AF64" s="184"/>
      <c r="AG64" s="343"/>
      <c r="AH64" s="343"/>
      <c r="AI64" s="388"/>
      <c r="AJ64" s="181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hidden="1" thickBot="1">
      <c r="A65" s="892"/>
      <c r="B65" s="182"/>
      <c r="C65" s="183">
        <f t="shared" si="14"/>
        <v>0</v>
      </c>
      <c r="D65" s="180"/>
      <c r="E65" s="342"/>
      <c r="F65" s="180"/>
      <c r="G65" s="186"/>
      <c r="H65" s="184"/>
      <c r="I65" s="183"/>
      <c r="J65" s="183">
        <f t="shared" si="15"/>
        <v>0</v>
      </c>
      <c r="K65" s="185">
        <f t="shared" si="16"/>
        <v>0</v>
      </c>
      <c r="L65" s="185"/>
      <c r="M65" s="185"/>
      <c r="N65" s="185"/>
      <c r="O65" s="184"/>
      <c r="P65" s="184"/>
      <c r="Q65" s="180"/>
      <c r="R65" s="342"/>
      <c r="S65" s="342"/>
      <c r="T65" s="342">
        <f t="shared" si="17"/>
        <v>0</v>
      </c>
      <c r="U65" s="342"/>
      <c r="V65" s="342"/>
      <c r="W65" s="342">
        <f>J65+U65</f>
        <v>0</v>
      </c>
      <c r="X65" s="342"/>
      <c r="Y65" s="342"/>
      <c r="Z65" s="515"/>
      <c r="AA65" s="407"/>
      <c r="AB65" s="343"/>
      <c r="AC65" s="465"/>
      <c r="AD65" s="342"/>
      <c r="AE65" s="181"/>
      <c r="AF65" s="184"/>
      <c r="AG65" s="343"/>
      <c r="AH65" s="343"/>
      <c r="AI65" s="388"/>
      <c r="AJ65" s="181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3.5" thickBot="1">
      <c r="A66" s="116">
        <v>3</v>
      </c>
      <c r="B66" s="34" t="s">
        <v>39</v>
      </c>
      <c r="C66" s="85">
        <f aca="true" t="shared" si="19" ref="C66:X66">SUM(C53:C65)</f>
        <v>0</v>
      </c>
      <c r="D66" s="137">
        <f t="shared" si="19"/>
        <v>0</v>
      </c>
      <c r="E66" s="87"/>
      <c r="F66" s="137"/>
      <c r="G66" s="88"/>
      <c r="H66" s="85">
        <f t="shared" si="19"/>
        <v>0</v>
      </c>
      <c r="I66" s="85">
        <f t="shared" si="19"/>
        <v>0</v>
      </c>
      <c r="J66" s="85">
        <f t="shared" si="19"/>
        <v>-5600</v>
      </c>
      <c r="K66" s="85">
        <f t="shared" si="19"/>
        <v>0</v>
      </c>
      <c r="L66" s="85">
        <f t="shared" si="19"/>
        <v>0</v>
      </c>
      <c r="M66" s="85"/>
      <c r="N66" s="85">
        <f t="shared" si="19"/>
        <v>0</v>
      </c>
      <c r="O66" s="85">
        <f t="shared" si="19"/>
        <v>0</v>
      </c>
      <c r="P66" s="85">
        <f t="shared" si="19"/>
        <v>0</v>
      </c>
      <c r="Q66" s="137">
        <f t="shared" si="19"/>
        <v>0</v>
      </c>
      <c r="R66" s="87">
        <f t="shared" si="19"/>
        <v>-6020</v>
      </c>
      <c r="S66" s="87">
        <f t="shared" si="19"/>
        <v>420</v>
      </c>
      <c r="T66" s="87">
        <f t="shared" si="19"/>
        <v>6020</v>
      </c>
      <c r="U66" s="87">
        <f t="shared" si="19"/>
        <v>5600</v>
      </c>
      <c r="V66" s="87">
        <f t="shared" si="19"/>
        <v>0</v>
      </c>
      <c r="W66" s="87">
        <f t="shared" si="19"/>
        <v>0</v>
      </c>
      <c r="X66" s="87">
        <f t="shared" si="19"/>
        <v>0</v>
      </c>
      <c r="Y66" s="87">
        <f>SUM(Y53:Y65)</f>
        <v>0</v>
      </c>
      <c r="Z66" s="175"/>
      <c r="AA66" s="94">
        <f>SUM(AA53:AA65)</f>
        <v>0</v>
      </c>
      <c r="AB66" s="87">
        <f>SUM(AB53:AB65)</f>
        <v>0</v>
      </c>
      <c r="AC66" s="86">
        <f>SUM(AC53:AC65)</f>
        <v>0</v>
      </c>
      <c r="AD66" s="87">
        <f>SUM(AD53:AD65)</f>
        <v>0</v>
      </c>
      <c r="AE66" s="117">
        <f>SUM(AE53:AE65)</f>
        <v>0</v>
      </c>
      <c r="AF66" s="86"/>
      <c r="AG66" s="87"/>
      <c r="AH66" s="87"/>
      <c r="AI66" s="175"/>
      <c r="AJ66" s="117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6" ht="13.5" thickBot="1">
      <c r="A67" s="2"/>
      <c r="B67" s="43" t="s">
        <v>40</v>
      </c>
      <c r="C67" s="89">
        <f aca="true" t="shared" si="20" ref="C67:X67">C25+C39+C52+C66</f>
        <v>0</v>
      </c>
      <c r="D67" s="136">
        <f t="shared" si="20"/>
        <v>0</v>
      </c>
      <c r="E67" s="345">
        <f t="shared" si="20"/>
        <v>0</v>
      </c>
      <c r="F67" s="136">
        <f t="shared" si="20"/>
        <v>0</v>
      </c>
      <c r="G67" s="322">
        <f t="shared" si="20"/>
        <v>0</v>
      </c>
      <c r="H67" s="140">
        <f t="shared" si="20"/>
        <v>0</v>
      </c>
      <c r="I67" s="89">
        <f t="shared" si="20"/>
        <v>0</v>
      </c>
      <c r="J67" s="89">
        <f>K67+O67+P67+Q67+R67+S67</f>
        <v>-9894</v>
      </c>
      <c r="K67" s="89">
        <f t="shared" si="20"/>
        <v>0</v>
      </c>
      <c r="L67" s="136">
        <f t="shared" si="20"/>
        <v>0</v>
      </c>
      <c r="M67" s="136"/>
      <c r="N67" s="140">
        <f t="shared" si="20"/>
        <v>0</v>
      </c>
      <c r="O67" s="140">
        <f t="shared" si="20"/>
        <v>0</v>
      </c>
      <c r="P67" s="140">
        <f t="shared" si="20"/>
        <v>0</v>
      </c>
      <c r="Q67" s="214">
        <f t="shared" si="20"/>
        <v>0</v>
      </c>
      <c r="R67" s="345">
        <f t="shared" si="20"/>
        <v>3807</v>
      </c>
      <c r="S67" s="345">
        <f t="shared" si="20"/>
        <v>-13701</v>
      </c>
      <c r="T67" s="345">
        <f t="shared" si="20"/>
        <v>21020</v>
      </c>
      <c r="U67" s="140">
        <f t="shared" si="20"/>
        <v>34721</v>
      </c>
      <c r="V67" s="140">
        <f t="shared" si="20"/>
        <v>0</v>
      </c>
      <c r="W67" s="345">
        <f t="shared" si="20"/>
        <v>24827</v>
      </c>
      <c r="X67" s="345">
        <f t="shared" si="20"/>
        <v>0</v>
      </c>
      <c r="Y67" s="345">
        <f>Y25+Y39+Y52+Y66</f>
        <v>0</v>
      </c>
      <c r="Z67" s="389">
        <f>Z25+Z39+Z52+Z66</f>
        <v>0</v>
      </c>
      <c r="AA67" s="344">
        <f>AA25+AA39+AA52+AA66</f>
        <v>24827</v>
      </c>
      <c r="AB67" s="345">
        <f>AB25+AB39+AB52+AB66</f>
        <v>0</v>
      </c>
      <c r="AC67" s="466">
        <f>AC25+AC39+AC52+AC66</f>
        <v>0</v>
      </c>
      <c r="AD67" s="345">
        <f aca="true" t="shared" si="21" ref="AD67:AJ67">AD25+AD39+AD52+AD66</f>
        <v>0</v>
      </c>
      <c r="AE67" s="346">
        <f t="shared" si="21"/>
        <v>0</v>
      </c>
      <c r="AF67" s="466">
        <f t="shared" si="21"/>
        <v>0</v>
      </c>
      <c r="AG67" s="345">
        <f t="shared" si="21"/>
        <v>0</v>
      </c>
      <c r="AH67" s="345">
        <f t="shared" si="21"/>
        <v>0</v>
      </c>
      <c r="AI67" s="389">
        <f t="shared" si="21"/>
        <v>0</v>
      </c>
      <c r="AJ67" s="346">
        <f t="shared" si="21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3.5" thickBot="1">
      <c r="A68" s="32"/>
      <c r="B68" s="265" t="s">
        <v>227</v>
      </c>
      <c r="C68" s="266">
        <f aca="true" t="shared" si="22" ref="C68:AJ68">C15+C67</f>
        <v>584815</v>
      </c>
      <c r="D68" s="625">
        <f t="shared" si="22"/>
        <v>505000</v>
      </c>
      <c r="E68" s="268">
        <f t="shared" si="22"/>
        <v>79815</v>
      </c>
      <c r="F68" s="644">
        <f t="shared" si="22"/>
        <v>0</v>
      </c>
      <c r="G68" s="267">
        <f t="shared" si="22"/>
        <v>0</v>
      </c>
      <c r="H68" s="268">
        <f t="shared" si="22"/>
        <v>0</v>
      </c>
      <c r="I68" s="269">
        <f t="shared" si="22"/>
        <v>0</v>
      </c>
      <c r="J68" s="269">
        <f t="shared" si="22"/>
        <v>1600442</v>
      </c>
      <c r="K68" s="266">
        <f t="shared" si="22"/>
        <v>685116</v>
      </c>
      <c r="L68" s="270">
        <f t="shared" si="22"/>
        <v>666786</v>
      </c>
      <c r="M68" s="271"/>
      <c r="N68" s="268">
        <f t="shared" si="22"/>
        <v>18330</v>
      </c>
      <c r="O68" s="268">
        <f t="shared" si="22"/>
        <v>232940</v>
      </c>
      <c r="P68" s="268">
        <f t="shared" si="22"/>
        <v>13335</v>
      </c>
      <c r="Q68" s="524">
        <f t="shared" si="22"/>
        <v>0</v>
      </c>
      <c r="R68" s="268">
        <f t="shared" si="22"/>
        <v>375331</v>
      </c>
      <c r="S68" s="268">
        <f t="shared" si="22"/>
        <v>293720</v>
      </c>
      <c r="T68" s="348">
        <f t="shared" si="22"/>
        <v>457041</v>
      </c>
      <c r="U68" s="348">
        <f t="shared" si="22"/>
        <v>163321</v>
      </c>
      <c r="V68" s="348">
        <f t="shared" si="22"/>
        <v>0</v>
      </c>
      <c r="W68" s="348">
        <f t="shared" si="22"/>
        <v>1763763</v>
      </c>
      <c r="X68" s="348">
        <f t="shared" si="22"/>
        <v>0</v>
      </c>
      <c r="Y68" s="348">
        <f t="shared" si="22"/>
        <v>0</v>
      </c>
      <c r="Z68" s="516">
        <f t="shared" si="22"/>
        <v>0</v>
      </c>
      <c r="AA68" s="347">
        <f t="shared" si="22"/>
        <v>1763763</v>
      </c>
      <c r="AB68" s="348">
        <f t="shared" si="22"/>
        <v>93900</v>
      </c>
      <c r="AC68" s="502">
        <f t="shared" si="22"/>
        <v>609336</v>
      </c>
      <c r="AD68" s="348">
        <f t="shared" si="22"/>
        <v>0</v>
      </c>
      <c r="AE68" s="349">
        <f t="shared" si="22"/>
        <v>57450</v>
      </c>
      <c r="AF68" s="604">
        <f t="shared" si="22"/>
        <v>0</v>
      </c>
      <c r="AG68" s="348">
        <f t="shared" si="22"/>
        <v>0</v>
      </c>
      <c r="AH68" s="348">
        <f t="shared" si="22"/>
        <v>0</v>
      </c>
      <c r="AI68" s="390">
        <f t="shared" si="22"/>
        <v>0</v>
      </c>
      <c r="AJ68" s="349">
        <f t="shared" si="22"/>
        <v>0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529"/>
      <c r="B69" s="838" t="s">
        <v>186</v>
      </c>
      <c r="C69" s="839"/>
      <c r="D69" s="848"/>
      <c r="E69" s="848"/>
      <c r="F69" s="848"/>
      <c r="G69" s="848"/>
      <c r="H69" s="848"/>
      <c r="I69" s="839"/>
      <c r="J69" s="839">
        <f>J68+J18+J43</f>
        <v>1520605</v>
      </c>
      <c r="K69" s="839">
        <f aca="true" t="shared" si="23" ref="K69:AE69">K68+K18+K43</f>
        <v>665341</v>
      </c>
      <c r="L69" s="839">
        <f t="shared" si="23"/>
        <v>648862</v>
      </c>
      <c r="M69" s="839">
        <f t="shared" si="23"/>
        <v>0</v>
      </c>
      <c r="N69" s="839">
        <f t="shared" si="23"/>
        <v>16479</v>
      </c>
      <c r="O69" s="839">
        <f t="shared" si="23"/>
        <v>225924</v>
      </c>
      <c r="P69" s="839">
        <f t="shared" si="23"/>
        <v>12976</v>
      </c>
      <c r="Q69" s="839">
        <f t="shared" si="23"/>
        <v>0</v>
      </c>
      <c r="R69" s="839">
        <f t="shared" si="23"/>
        <v>323644</v>
      </c>
      <c r="S69" s="839">
        <f t="shared" si="23"/>
        <v>292720</v>
      </c>
      <c r="T69" s="839">
        <f t="shared" si="23"/>
        <v>449841</v>
      </c>
      <c r="U69" s="839">
        <f t="shared" si="23"/>
        <v>157121</v>
      </c>
      <c r="V69" s="839">
        <f t="shared" si="23"/>
        <v>0</v>
      </c>
      <c r="W69" s="839">
        <f t="shared" si="23"/>
        <v>1677726</v>
      </c>
      <c r="X69" s="839">
        <f t="shared" si="23"/>
        <v>0</v>
      </c>
      <c r="Y69" s="839">
        <f t="shared" si="23"/>
        <v>0</v>
      </c>
      <c r="Z69" s="839">
        <f t="shared" si="23"/>
        <v>0</v>
      </c>
      <c r="AA69" s="839">
        <f t="shared" si="23"/>
        <v>1677726</v>
      </c>
      <c r="AB69" s="842">
        <f t="shared" si="23"/>
        <v>93900</v>
      </c>
      <c r="AC69" s="842">
        <f t="shared" si="23"/>
        <v>593548</v>
      </c>
      <c r="AD69" s="842">
        <f t="shared" si="23"/>
        <v>0</v>
      </c>
      <c r="AE69" s="842">
        <f t="shared" si="23"/>
        <v>55314</v>
      </c>
      <c r="AF69" s="532"/>
      <c r="AG69" s="532"/>
      <c r="AH69" s="532"/>
      <c r="AI69" s="532"/>
      <c r="AJ69" s="532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533"/>
      <c r="B70" s="843"/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4"/>
      <c r="Q70" s="844"/>
      <c r="R70" s="844"/>
      <c r="S70" s="844"/>
      <c r="T70" s="844"/>
      <c r="U70" s="844"/>
      <c r="V70" s="844"/>
      <c r="W70" s="844"/>
      <c r="X70" s="844"/>
      <c r="Y70" s="844"/>
      <c r="Z70" s="844"/>
      <c r="AA70" s="845"/>
      <c r="AB70" s="845"/>
      <c r="AC70" s="845"/>
      <c r="AD70" s="845"/>
      <c r="AE70" s="845"/>
      <c r="AF70" s="534"/>
      <c r="AG70" s="534"/>
      <c r="AH70" s="534"/>
      <c r="AI70" s="534"/>
      <c r="AJ70" s="53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51">
        <v>1</v>
      </c>
      <c r="B71" s="52" t="s">
        <v>19</v>
      </c>
      <c r="C71" s="70">
        <f>D71+H71</f>
        <v>0</v>
      </c>
      <c r="D71" s="71">
        <v>0</v>
      </c>
      <c r="E71" s="71">
        <v>0</v>
      </c>
      <c r="F71" s="72">
        <v>0</v>
      </c>
      <c r="G71" s="95">
        <v>0</v>
      </c>
      <c r="H71" s="71">
        <v>0</v>
      </c>
      <c r="I71" s="651">
        <v>0</v>
      </c>
      <c r="J71" s="651">
        <f>K71+O71+P71+Q71+R71+S71</f>
        <v>-14121</v>
      </c>
      <c r="K71" s="71">
        <f>L71+N71</f>
        <v>0</v>
      </c>
      <c r="L71" s="71">
        <f>L19</f>
        <v>0</v>
      </c>
      <c r="M71" s="71"/>
      <c r="N71" s="71">
        <v>0</v>
      </c>
      <c r="O71" s="71">
        <f>O19</f>
        <v>0</v>
      </c>
      <c r="P71" s="71">
        <f>P19</f>
        <v>0</v>
      </c>
      <c r="Q71" s="71">
        <v>0</v>
      </c>
      <c r="R71" s="71">
        <v>0</v>
      </c>
      <c r="S71" s="71">
        <f>S28+S41+S42</f>
        <v>-14121</v>
      </c>
      <c r="T71" s="95">
        <f>S71+U71</f>
        <v>0</v>
      </c>
      <c r="U71" s="150">
        <f>U28+U41+U42</f>
        <v>14121</v>
      </c>
      <c r="V71" s="72">
        <v>0</v>
      </c>
      <c r="W71" s="323">
        <f>J71+U71+V71</f>
        <v>0</v>
      </c>
      <c r="X71" s="95">
        <v>0</v>
      </c>
      <c r="Y71" s="150">
        <f>Y26</f>
        <v>0</v>
      </c>
      <c r="Z71" s="150">
        <v>0</v>
      </c>
      <c r="AA71" s="394">
        <v>0</v>
      </c>
      <c r="AB71" s="357">
        <v>0</v>
      </c>
      <c r="AC71" s="409">
        <v>0</v>
      </c>
      <c r="AD71" s="287">
        <v>0</v>
      </c>
      <c r="AE71" s="287">
        <v>0</v>
      </c>
      <c r="AF71" s="287">
        <v>0</v>
      </c>
      <c r="AG71" s="287">
        <v>0</v>
      </c>
      <c r="AH71" s="287">
        <v>0</v>
      </c>
      <c r="AI71" s="394"/>
      <c r="AJ71" s="357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9">
        <v>3</v>
      </c>
      <c r="B72" s="46" t="s">
        <v>19</v>
      </c>
      <c r="C72" s="65">
        <f>D72+H72</f>
        <v>0</v>
      </c>
      <c r="D72" s="68">
        <v>0</v>
      </c>
      <c r="E72" s="68">
        <v>0</v>
      </c>
      <c r="F72" s="74">
        <v>0</v>
      </c>
      <c r="G72" s="66">
        <v>0</v>
      </c>
      <c r="H72" s="68">
        <v>0</v>
      </c>
      <c r="I72" s="65">
        <v>0</v>
      </c>
      <c r="J72" s="65">
        <f>K72+O72+P72+Q72+R72+S72</f>
        <v>4227</v>
      </c>
      <c r="K72" s="68">
        <f>L72+N72</f>
        <v>0</v>
      </c>
      <c r="L72" s="68">
        <v>0</v>
      </c>
      <c r="M72" s="68"/>
      <c r="N72" s="68">
        <f>N20</f>
        <v>0</v>
      </c>
      <c r="O72" s="68">
        <v>0</v>
      </c>
      <c r="P72" s="68">
        <v>0</v>
      </c>
      <c r="Q72" s="68">
        <v>0</v>
      </c>
      <c r="R72" s="68">
        <f>R19+R26+R40+R53</f>
        <v>3807</v>
      </c>
      <c r="S72" s="68">
        <f>S53</f>
        <v>420</v>
      </c>
      <c r="T72" s="66">
        <f>S72+U72</f>
        <v>21020</v>
      </c>
      <c r="U72" s="67">
        <f>U27+U53</f>
        <v>20600</v>
      </c>
      <c r="V72" s="74">
        <f>V43</f>
        <v>0</v>
      </c>
      <c r="W72" s="195">
        <f>J72+U72+V72</f>
        <v>24827</v>
      </c>
      <c r="X72" s="66" t="e">
        <f>#REF!+X19</f>
        <v>#REF!</v>
      </c>
      <c r="Y72" s="67" t="e">
        <f>#REF!</f>
        <v>#REF!</v>
      </c>
      <c r="Z72" s="67">
        <v>0</v>
      </c>
      <c r="AA72" s="212">
        <f>AA19+AA26+AA27+AA40</f>
        <v>24827</v>
      </c>
      <c r="AB72" s="172">
        <v>0</v>
      </c>
      <c r="AC72" s="66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212"/>
      <c r="AJ72" s="172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50">
        <v>5</v>
      </c>
      <c r="B73" s="489" t="s">
        <v>19</v>
      </c>
      <c r="C73" s="490">
        <f>D73+H73</f>
        <v>0</v>
      </c>
      <c r="D73" s="491">
        <v>0</v>
      </c>
      <c r="E73" s="491">
        <v>0</v>
      </c>
      <c r="F73" s="491">
        <v>0</v>
      </c>
      <c r="G73" s="76">
        <v>0</v>
      </c>
      <c r="H73" s="76">
        <v>0</v>
      </c>
      <c r="I73" s="77">
        <v>0</v>
      </c>
      <c r="J73" s="75">
        <f>K73+O73+P73+Q73+R73+S73</f>
        <v>0</v>
      </c>
      <c r="K73" s="76">
        <v>0</v>
      </c>
      <c r="L73" s="76">
        <v>0</v>
      </c>
      <c r="M73" s="76"/>
      <c r="N73" s="76">
        <v>0</v>
      </c>
      <c r="O73" s="76">
        <v>0</v>
      </c>
      <c r="P73" s="76">
        <v>0</v>
      </c>
      <c r="Q73" s="76">
        <v>0</v>
      </c>
      <c r="R73" s="145">
        <v>0</v>
      </c>
      <c r="S73" s="145">
        <v>0</v>
      </c>
      <c r="T73" s="96">
        <v>0</v>
      </c>
      <c r="U73" s="151">
        <v>0</v>
      </c>
      <c r="V73" s="77">
        <v>0</v>
      </c>
      <c r="W73" s="324">
        <f>J73+U73+V73</f>
        <v>0</v>
      </c>
      <c r="X73" s="96">
        <v>0</v>
      </c>
      <c r="Y73" s="151">
        <v>0</v>
      </c>
      <c r="Z73" s="151">
        <v>0</v>
      </c>
      <c r="AA73" s="395">
        <v>0</v>
      </c>
      <c r="AB73" s="359">
        <v>0</v>
      </c>
      <c r="AC73" s="410">
        <v>0</v>
      </c>
      <c r="AD73" s="358">
        <v>0</v>
      </c>
      <c r="AE73" s="358">
        <v>0</v>
      </c>
      <c r="AF73" s="358">
        <v>0</v>
      </c>
      <c r="AG73" s="358">
        <v>0</v>
      </c>
      <c r="AH73" s="358">
        <v>0</v>
      </c>
      <c r="AI73" s="395"/>
      <c r="AJ73" s="359"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47" t="s">
        <v>19</v>
      </c>
      <c r="B74" s="47"/>
      <c r="C74" s="75">
        <f>SUM(C71:C73)</f>
        <v>0</v>
      </c>
      <c r="D74" s="76">
        <f>SUM(D71:D73)</f>
        <v>0</v>
      </c>
      <c r="E74" s="76">
        <f>SUM(E71:E73)</f>
        <v>0</v>
      </c>
      <c r="F74" s="76">
        <f>SUM(F71:F73)</f>
        <v>0</v>
      </c>
      <c r="G74" s="76">
        <f>SUM(G71:G73)</f>
        <v>0</v>
      </c>
      <c r="H74" s="76">
        <f aca="true" t="shared" si="24" ref="H74:Q74">SUM(H71:H73)</f>
        <v>0</v>
      </c>
      <c r="I74" s="77">
        <f t="shared" si="24"/>
        <v>0</v>
      </c>
      <c r="J74" s="147">
        <f>K74+O74+P74+Q74+R74+S74</f>
        <v>-9894</v>
      </c>
      <c r="K74" s="76">
        <f t="shared" si="24"/>
        <v>0</v>
      </c>
      <c r="L74" s="76">
        <f t="shared" si="24"/>
        <v>0</v>
      </c>
      <c r="M74" s="76"/>
      <c r="N74" s="76">
        <f t="shared" si="24"/>
        <v>0</v>
      </c>
      <c r="O74" s="76">
        <f t="shared" si="24"/>
        <v>0</v>
      </c>
      <c r="P74" s="76">
        <f t="shared" si="24"/>
        <v>0</v>
      </c>
      <c r="Q74" s="76">
        <f t="shared" si="24"/>
        <v>0</v>
      </c>
      <c r="R74" s="144">
        <f aca="true" t="shared" si="25" ref="R74:AJ74">SUM(R71:R73)</f>
        <v>3807</v>
      </c>
      <c r="S74" s="144">
        <f t="shared" si="25"/>
        <v>-13701</v>
      </c>
      <c r="T74" s="76">
        <f t="shared" si="25"/>
        <v>21020</v>
      </c>
      <c r="U74" s="76">
        <f t="shared" si="25"/>
        <v>34721</v>
      </c>
      <c r="V74" s="144">
        <f t="shared" si="25"/>
        <v>0</v>
      </c>
      <c r="W74" s="77">
        <f t="shared" si="25"/>
        <v>24827</v>
      </c>
      <c r="X74" s="360" t="e">
        <f t="shared" si="25"/>
        <v>#REF!</v>
      </c>
      <c r="Y74" s="361" t="e">
        <f>SUM(Y71:Y73)</f>
        <v>#REF!</v>
      </c>
      <c r="Z74" s="361">
        <f>SUM(Z71:Z73)</f>
        <v>0</v>
      </c>
      <c r="AA74" s="396">
        <f t="shared" si="25"/>
        <v>24827</v>
      </c>
      <c r="AB74" s="144">
        <f t="shared" si="25"/>
        <v>0</v>
      </c>
      <c r="AC74" s="360">
        <f t="shared" si="25"/>
        <v>0</v>
      </c>
      <c r="AD74" s="361">
        <f t="shared" si="25"/>
        <v>0</v>
      </c>
      <c r="AE74" s="361">
        <f t="shared" si="25"/>
        <v>0</v>
      </c>
      <c r="AF74" s="361">
        <f t="shared" si="25"/>
        <v>0</v>
      </c>
      <c r="AG74" s="361">
        <f t="shared" si="25"/>
        <v>0</v>
      </c>
      <c r="AH74" s="361">
        <f t="shared" si="25"/>
        <v>0</v>
      </c>
      <c r="AI74" s="396"/>
      <c r="AJ74" s="144">
        <f t="shared" si="25"/>
        <v>0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57"/>
      <c r="B75" s="5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41</v>
      </c>
      <c r="C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42</v>
      </c>
      <c r="B77" t="s">
        <v>43</v>
      </c>
      <c r="C77" s="2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44</v>
      </c>
      <c r="B78" t="s">
        <v>45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t="s">
        <v>46</v>
      </c>
      <c r="B79" t="s">
        <v>47</v>
      </c>
      <c r="C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</sheetData>
  <mergeCells count="1">
    <mergeCell ref="G11:I11"/>
  </mergeCells>
  <printOptions horizontalCentered="1"/>
  <pageMargins left="0.3937007874015748" right="0" top="0.984251968503937" bottom="0" header="0.5118110236220472" footer="0.5118110236220472"/>
  <pageSetup fitToHeight="1" fitToWidth="1" horizontalDpi="600" verticalDpi="600" orientation="landscape" paperSize="9" scale="55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AT142"/>
  <sheetViews>
    <sheetView workbookViewId="0" topLeftCell="A6">
      <pane xSplit="2" topLeftCell="C1" activePane="topRight" state="frozen"/>
      <selection pane="topLeft" activeCell="O51" sqref="O51"/>
      <selection pane="topRight" activeCell="W115" sqref="W115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4" width="9.625" style="0" customWidth="1"/>
    <col min="5" max="5" width="8.00390625" style="0" customWidth="1"/>
    <col min="6" max="6" width="10.75390625" style="0" customWidth="1"/>
    <col min="8" max="8" width="7.75390625" style="0" customWidth="1"/>
    <col min="9" max="9" width="8.00390625" style="0" customWidth="1"/>
    <col min="10" max="10" width="11.125" style="0" customWidth="1"/>
    <col min="11" max="11" width="9.25390625" style="0" customWidth="1"/>
    <col min="13" max="13" width="7.75390625" style="0" customWidth="1"/>
    <col min="14" max="14" width="9.00390625" style="0" customWidth="1"/>
    <col min="15" max="15" width="7.625" style="0" customWidth="1"/>
    <col min="16" max="16" width="7.375" style="0" customWidth="1"/>
    <col min="17" max="17" width="11.125" style="0" customWidth="1"/>
    <col min="18" max="18" width="9.25390625" style="0" customWidth="1"/>
    <col min="19" max="20" width="10.00390625" style="0" customWidth="1"/>
    <col min="21" max="21" width="10.375" style="0" customWidth="1"/>
    <col min="22" max="22" width="9.25390625" style="0" customWidth="1"/>
    <col min="23" max="23" width="9.00390625" style="0" customWidth="1"/>
    <col min="24" max="24" width="10.125" style="0" customWidth="1"/>
    <col min="25" max="25" width="9.00390625" style="0" customWidth="1"/>
    <col min="26" max="26" width="9.75390625" style="0" customWidth="1"/>
    <col min="27" max="27" width="10.75390625" style="0" customWidth="1"/>
    <col min="28" max="28" width="11.375" style="0" customWidth="1"/>
    <col min="29" max="29" width="7.875" style="0" customWidth="1"/>
    <col min="30" max="31" width="7.375" style="0" customWidth="1"/>
    <col min="32" max="32" width="7.875" style="0" customWidth="1"/>
  </cols>
  <sheetData>
    <row r="4" ht="18">
      <c r="Y4" s="113"/>
    </row>
    <row r="5" ht="12.75">
      <c r="L5" t="s">
        <v>52</v>
      </c>
    </row>
    <row r="6" spans="2:18" s="25" customFormat="1" ht="18">
      <c r="B6" s="127"/>
      <c r="D6" s="127"/>
      <c r="E6" s="127"/>
      <c r="F6" s="127"/>
      <c r="G6" s="127"/>
      <c r="H6" s="272"/>
      <c r="I6"/>
      <c r="J6" s="127" t="s">
        <v>228</v>
      </c>
      <c r="Q6" s="128"/>
      <c r="R6" s="128"/>
    </row>
    <row r="7" spans="2:20" ht="18">
      <c r="B7" s="7"/>
      <c r="C7" s="6"/>
      <c r="D7" s="127"/>
      <c r="E7" s="127"/>
      <c r="F7" s="127"/>
      <c r="G7" s="127"/>
      <c r="H7" s="25"/>
      <c r="J7" s="127"/>
      <c r="K7" s="25"/>
      <c r="L7" s="128"/>
      <c r="M7" s="128"/>
      <c r="N7" s="128"/>
      <c r="O7" s="128"/>
      <c r="P7" s="128"/>
      <c r="Q7" s="128"/>
      <c r="R7" s="128"/>
      <c r="S7" s="128"/>
      <c r="T7" s="6"/>
    </row>
    <row r="8" spans="2:20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42" ht="12.75">
      <c r="A9" s="44"/>
      <c r="B9" s="26" t="s">
        <v>0</v>
      </c>
      <c r="C9" s="35" t="s">
        <v>1</v>
      </c>
      <c r="D9" s="14" t="s">
        <v>2</v>
      </c>
      <c r="E9" s="14"/>
      <c r="F9" s="14"/>
      <c r="G9" s="14"/>
      <c r="H9" s="14"/>
      <c r="I9" s="552"/>
      <c r="J9" s="13"/>
      <c r="K9" s="11" t="s">
        <v>3</v>
      </c>
      <c r="L9" s="8"/>
      <c r="M9" s="8"/>
      <c r="N9" s="9"/>
      <c r="O9" s="8"/>
      <c r="P9" s="8"/>
      <c r="Q9" s="8"/>
      <c r="R9" s="9"/>
      <c r="S9" s="191" t="s">
        <v>66</v>
      </c>
      <c r="T9" s="192"/>
      <c r="U9" s="234" t="s">
        <v>4</v>
      </c>
      <c r="V9" s="374" t="s">
        <v>109</v>
      </c>
      <c r="W9" s="11"/>
      <c r="X9" s="11"/>
      <c r="Y9" s="11"/>
      <c r="Z9" s="13"/>
      <c r="AA9" s="439" t="s">
        <v>110</v>
      </c>
      <c r="AB9" s="440" t="s">
        <v>107</v>
      </c>
      <c r="AC9" s="276"/>
      <c r="AD9" s="276"/>
      <c r="AE9" s="276"/>
      <c r="AF9" s="277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2.75">
      <c r="A10" s="5"/>
      <c r="B10" s="12"/>
      <c r="C10" s="36"/>
      <c r="D10" s="547" t="s">
        <v>133</v>
      </c>
      <c r="E10" s="548"/>
      <c r="F10" s="549"/>
      <c r="G10" s="549"/>
      <c r="H10" s="553"/>
      <c r="I10" s="554"/>
      <c r="J10" s="566"/>
      <c r="K10" s="58"/>
      <c r="L10" s="538"/>
      <c r="M10" s="538"/>
      <c r="N10" s="539"/>
      <c r="O10" s="539"/>
      <c r="P10" s="539"/>
      <c r="Q10" s="539"/>
      <c r="R10" s="540"/>
      <c r="S10" s="541"/>
      <c r="T10" s="542"/>
      <c r="U10" s="306"/>
      <c r="V10" s="541"/>
      <c r="W10" s="544"/>
      <c r="X10" s="544"/>
      <c r="Y10" s="544"/>
      <c r="Z10" s="586"/>
      <c r="AA10" s="545"/>
      <c r="AB10" s="427"/>
      <c r="AC10" s="84"/>
      <c r="AD10" s="84"/>
      <c r="AE10" s="84"/>
      <c r="AF10" s="546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2.75">
      <c r="A11" s="5" t="s">
        <v>6</v>
      </c>
      <c r="B11" s="5"/>
      <c r="C11" s="15" t="s">
        <v>19</v>
      </c>
      <c r="D11" s="550" t="s">
        <v>134</v>
      </c>
      <c r="E11" s="551"/>
      <c r="F11" s="631"/>
      <c r="G11" s="1123" t="s">
        <v>157</v>
      </c>
      <c r="H11" s="1124"/>
      <c r="I11" s="1125"/>
      <c r="J11" s="648"/>
      <c r="K11" s="626" t="s">
        <v>154</v>
      </c>
      <c r="L11" s="628" t="s">
        <v>5</v>
      </c>
      <c r="M11" s="609"/>
      <c r="N11" s="18" t="s">
        <v>9</v>
      </c>
      <c r="O11" s="209" t="s">
        <v>10</v>
      </c>
      <c r="P11" s="565" t="s">
        <v>11</v>
      </c>
      <c r="Q11" s="166" t="s">
        <v>11</v>
      </c>
      <c r="R11" s="167" t="s">
        <v>12</v>
      </c>
      <c r="S11" s="193" t="s">
        <v>65</v>
      </c>
      <c r="T11" s="194"/>
      <c r="U11" s="306"/>
      <c r="V11" s="293" t="s">
        <v>103</v>
      </c>
      <c r="W11" s="294" t="s">
        <v>4</v>
      </c>
      <c r="X11" s="294" t="s">
        <v>103</v>
      </c>
      <c r="Y11" s="452" t="s">
        <v>91</v>
      </c>
      <c r="Z11" s="293" t="s">
        <v>111</v>
      </c>
      <c r="AA11" s="295" t="s">
        <v>142</v>
      </c>
      <c r="AB11" s="295" t="s">
        <v>142</v>
      </c>
      <c r="AC11" s="294" t="s">
        <v>163</v>
      </c>
      <c r="AD11" s="295" t="s">
        <v>20</v>
      </c>
      <c r="AE11" s="561" t="s">
        <v>129</v>
      </c>
      <c r="AF11" s="296" t="s">
        <v>92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2.75">
      <c r="A12" s="5" t="s">
        <v>13</v>
      </c>
      <c r="B12" s="5"/>
      <c r="C12" s="29"/>
      <c r="D12" s="20" t="s">
        <v>14</v>
      </c>
      <c r="E12" s="557" t="s">
        <v>136</v>
      </c>
      <c r="F12" s="637" t="s">
        <v>92</v>
      </c>
      <c r="G12" s="652" t="s">
        <v>159</v>
      </c>
      <c r="H12" s="632" t="s">
        <v>135</v>
      </c>
      <c r="I12" s="633"/>
      <c r="J12" s="1"/>
      <c r="K12" s="626" t="s">
        <v>155</v>
      </c>
      <c r="L12" s="629" t="s">
        <v>156</v>
      </c>
      <c r="M12" s="630"/>
      <c r="N12" s="31"/>
      <c r="O12" s="1" t="s">
        <v>17</v>
      </c>
      <c r="P12" s="1" t="s">
        <v>18</v>
      </c>
      <c r="Q12" s="39" t="s">
        <v>50</v>
      </c>
      <c r="R12" s="168" t="s">
        <v>48</v>
      </c>
      <c r="S12" s="93" t="s">
        <v>19</v>
      </c>
      <c r="T12" s="134" t="s">
        <v>5</v>
      </c>
      <c r="U12" s="306"/>
      <c r="V12" s="297" t="s">
        <v>104</v>
      </c>
      <c r="W12" s="298" t="s">
        <v>94</v>
      </c>
      <c r="X12" s="298" t="s">
        <v>104</v>
      </c>
      <c r="Y12" s="453" t="s">
        <v>93</v>
      </c>
      <c r="Z12" s="297" t="s">
        <v>114</v>
      </c>
      <c r="AA12" s="299" t="s">
        <v>143</v>
      </c>
      <c r="AB12" s="298" t="s">
        <v>146</v>
      </c>
      <c r="AC12" s="298" t="s">
        <v>164</v>
      </c>
      <c r="AD12" s="299" t="s">
        <v>88</v>
      </c>
      <c r="AE12" s="562" t="s">
        <v>149</v>
      </c>
      <c r="AF12" s="300" t="s">
        <v>95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 t="s">
        <v>21</v>
      </c>
      <c r="B13" s="12" t="s">
        <v>22</v>
      </c>
      <c r="C13" s="555"/>
      <c r="D13" s="20" t="s">
        <v>23</v>
      </c>
      <c r="E13" s="558" t="s">
        <v>137</v>
      </c>
      <c r="F13" s="638" t="s">
        <v>95</v>
      </c>
      <c r="G13" s="653" t="s">
        <v>136</v>
      </c>
      <c r="H13" s="634" t="s">
        <v>19</v>
      </c>
      <c r="I13" s="635" t="s">
        <v>7</v>
      </c>
      <c r="J13" s="649" t="s">
        <v>19</v>
      </c>
      <c r="K13" s="627" t="s">
        <v>19</v>
      </c>
      <c r="L13" s="16" t="s">
        <v>24</v>
      </c>
      <c r="M13" s="30" t="s">
        <v>25</v>
      </c>
      <c r="N13" s="39"/>
      <c r="O13" s="23"/>
      <c r="P13" s="1" t="s">
        <v>26</v>
      </c>
      <c r="Q13" s="39" t="s">
        <v>49</v>
      </c>
      <c r="R13" s="168" t="s">
        <v>27</v>
      </c>
      <c r="S13" s="40" t="s">
        <v>28</v>
      </c>
      <c r="T13" s="134" t="s">
        <v>23</v>
      </c>
      <c r="U13" s="306" t="s">
        <v>19</v>
      </c>
      <c r="V13" s="297" t="s">
        <v>105</v>
      </c>
      <c r="W13" s="298" t="s">
        <v>97</v>
      </c>
      <c r="X13" s="298" t="s">
        <v>108</v>
      </c>
      <c r="Y13" s="453" t="s">
        <v>96</v>
      </c>
      <c r="Z13" s="297" t="s">
        <v>141</v>
      </c>
      <c r="AA13" s="299" t="s">
        <v>144</v>
      </c>
      <c r="AB13" s="298" t="s">
        <v>147</v>
      </c>
      <c r="AC13" s="298" t="s">
        <v>162</v>
      </c>
      <c r="AD13" s="299" t="s">
        <v>34</v>
      </c>
      <c r="AE13" s="562" t="s">
        <v>175</v>
      </c>
      <c r="AF13" s="300" t="s">
        <v>165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6" ht="13.5" thickBot="1">
      <c r="A14" s="45" t="s">
        <v>30</v>
      </c>
      <c r="B14" s="27" t="s">
        <v>31</v>
      </c>
      <c r="C14" s="41"/>
      <c r="D14" s="21" t="s">
        <v>32</v>
      </c>
      <c r="E14" s="559"/>
      <c r="F14" s="681" t="s">
        <v>168</v>
      </c>
      <c r="G14" s="678" t="s">
        <v>158</v>
      </c>
      <c r="H14" s="636"/>
      <c r="I14" s="654" t="s">
        <v>33</v>
      </c>
      <c r="J14" s="650"/>
      <c r="K14" s="208"/>
      <c r="L14" s="19"/>
      <c r="M14" s="210"/>
      <c r="N14" s="22"/>
      <c r="O14" s="19"/>
      <c r="P14" s="3"/>
      <c r="Q14" s="169" t="s">
        <v>28</v>
      </c>
      <c r="R14" s="170"/>
      <c r="S14" s="42"/>
      <c r="T14" s="135" t="s">
        <v>27</v>
      </c>
      <c r="U14" s="307"/>
      <c r="V14" s="421" t="s">
        <v>106</v>
      </c>
      <c r="W14" s="302" t="s">
        <v>100</v>
      </c>
      <c r="X14" s="420" t="s">
        <v>106</v>
      </c>
      <c r="Y14" s="454" t="s">
        <v>99</v>
      </c>
      <c r="Z14" s="421" t="s">
        <v>140</v>
      </c>
      <c r="AA14" s="302" t="s">
        <v>145</v>
      </c>
      <c r="AB14" s="422" t="s">
        <v>148</v>
      </c>
      <c r="AC14" s="301"/>
      <c r="AD14" s="301"/>
      <c r="AE14" s="564" t="s">
        <v>19</v>
      </c>
      <c r="AF14" s="303" t="s">
        <v>166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2.75">
      <c r="A15" s="5"/>
      <c r="B15" s="115" t="s">
        <v>187</v>
      </c>
      <c r="C15" s="222">
        <f>D15+E15+F15+G15+H15</f>
        <v>4332371</v>
      </c>
      <c r="D15" s="417">
        <v>1924833</v>
      </c>
      <c r="E15" s="560">
        <v>270666</v>
      </c>
      <c r="F15" s="639">
        <v>94229</v>
      </c>
      <c r="G15" s="679">
        <v>1471711</v>
      </c>
      <c r="H15" s="426">
        <v>570932</v>
      </c>
      <c r="I15" s="416">
        <v>510437</v>
      </c>
      <c r="J15" s="416">
        <f>K15+N15+O15+P15+Q15+R15</f>
        <v>15566984</v>
      </c>
      <c r="K15" s="417">
        <f>L15+M15</f>
        <v>8344730</v>
      </c>
      <c r="L15" s="425">
        <v>8287334</v>
      </c>
      <c r="M15" s="426">
        <v>57396</v>
      </c>
      <c r="N15" s="426">
        <v>2837210</v>
      </c>
      <c r="O15" s="425">
        <v>165747</v>
      </c>
      <c r="P15" s="426">
        <v>514710</v>
      </c>
      <c r="Q15" s="416">
        <v>2410428</v>
      </c>
      <c r="R15" s="416">
        <v>1294159</v>
      </c>
      <c r="S15" s="417">
        <f>R15+T15</f>
        <v>2920036</v>
      </c>
      <c r="T15" s="427">
        <v>1625877</v>
      </c>
      <c r="U15" s="418">
        <f aca="true" t="shared" si="0" ref="U15:U29">T15+J15</f>
        <v>17192861</v>
      </c>
      <c r="V15" s="417">
        <v>8227677</v>
      </c>
      <c r="W15" s="425">
        <v>2691316</v>
      </c>
      <c r="X15" s="305">
        <v>4534932</v>
      </c>
      <c r="Y15" s="375">
        <v>1738936</v>
      </c>
      <c r="Z15" s="325">
        <v>6347036</v>
      </c>
      <c r="AA15" s="305">
        <v>1882848</v>
      </c>
      <c r="AB15" s="305">
        <v>57450</v>
      </c>
      <c r="AC15" s="305">
        <v>3000</v>
      </c>
      <c r="AD15" s="305">
        <v>730</v>
      </c>
      <c r="AE15" s="375">
        <v>318374</v>
      </c>
      <c r="AF15" s="326">
        <v>101065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s="57" customFormat="1" ht="12.75">
      <c r="A16" s="47"/>
      <c r="B16" s="415" t="s">
        <v>124</v>
      </c>
      <c r="C16" s="126"/>
      <c r="D16" s="125"/>
      <c r="E16" s="122"/>
      <c r="F16" s="640"/>
      <c r="G16" s="125"/>
      <c r="H16" s="122"/>
      <c r="I16" s="124"/>
      <c r="J16" s="124">
        <f>K16+N16+O16+P16+Q16+R16</f>
        <v>185301</v>
      </c>
      <c r="K16" s="125"/>
      <c r="L16" s="123"/>
      <c r="M16" s="122"/>
      <c r="N16" s="122"/>
      <c r="O16" s="123"/>
      <c r="P16" s="122"/>
      <c r="Q16" s="124">
        <v>110021</v>
      </c>
      <c r="R16" s="124">
        <v>75280</v>
      </c>
      <c r="S16" s="122">
        <f>R16+T16</f>
        <v>100638</v>
      </c>
      <c r="T16" s="139">
        <v>25358</v>
      </c>
      <c r="U16" s="314">
        <f t="shared" si="0"/>
        <v>210659</v>
      </c>
      <c r="V16" s="419">
        <v>181774</v>
      </c>
      <c r="W16" s="81"/>
      <c r="X16" s="81"/>
      <c r="Y16" s="376"/>
      <c r="Z16" s="80"/>
      <c r="AA16" s="81"/>
      <c r="AB16" s="81"/>
      <c r="AC16" s="81"/>
      <c r="AD16" s="81"/>
      <c r="AE16" s="376"/>
      <c r="AF16" s="30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</row>
    <row r="17" spans="1:46" ht="12.75">
      <c r="A17" s="5"/>
      <c r="B17" s="133" t="s">
        <v>35</v>
      </c>
      <c r="C17" s="222"/>
      <c r="D17" s="223"/>
      <c r="E17" s="226"/>
      <c r="F17" s="227"/>
      <c r="G17" s="223"/>
      <c r="H17" s="224"/>
      <c r="I17" s="225"/>
      <c r="J17" s="1099"/>
      <c r="K17" s="1100">
        <f aca="true" t="shared" si="1" ref="K17:K29">L17+M17</f>
        <v>0</v>
      </c>
      <c r="L17" s="1101"/>
      <c r="M17" s="1102"/>
      <c r="N17" s="1102"/>
      <c r="O17" s="1101"/>
      <c r="P17" s="1102"/>
      <c r="Q17" s="854"/>
      <c r="R17" s="855"/>
      <c r="S17" s="367">
        <f aca="true" t="shared" si="2" ref="S17:S29">R17+T17</f>
        <v>0</v>
      </c>
      <c r="T17" s="227"/>
      <c r="U17" s="315">
        <f t="shared" si="0"/>
        <v>0</v>
      </c>
      <c r="V17" s="441"/>
      <c r="W17" s="615"/>
      <c r="X17" s="614"/>
      <c r="Y17" s="849"/>
      <c r="Z17" s="808"/>
      <c r="AA17" s="305"/>
      <c r="AB17" s="305"/>
      <c r="AC17" s="305"/>
      <c r="AD17" s="305"/>
      <c r="AE17" s="851"/>
      <c r="AF17" s="852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12.75">
      <c r="A18" s="820">
        <v>1</v>
      </c>
      <c r="B18" s="821" t="s">
        <v>185</v>
      </c>
      <c r="C18" s="822">
        <f aca="true" t="shared" si="3" ref="C18:C27">D18+E18+F18+G18+H18</f>
        <v>0</v>
      </c>
      <c r="D18" s="823"/>
      <c r="E18" s="824"/>
      <c r="F18" s="825"/>
      <c r="G18" s="823"/>
      <c r="H18" s="826"/>
      <c r="I18" s="827"/>
      <c r="J18" s="1103">
        <f aca="true" t="shared" si="4" ref="J18:J48">K18+N18+O18+P18+Q18+R18</f>
        <v>-292919</v>
      </c>
      <c r="K18" s="1065">
        <f t="shared" si="1"/>
        <v>-76818</v>
      </c>
      <c r="L18" s="826">
        <v>-74764</v>
      </c>
      <c r="M18" s="824">
        <v>-2054</v>
      </c>
      <c r="N18" s="824">
        <v>-26119</v>
      </c>
      <c r="O18" s="826">
        <v>-1528</v>
      </c>
      <c r="P18" s="824">
        <v>0</v>
      </c>
      <c r="Q18" s="850">
        <v>-138507</v>
      </c>
      <c r="R18" s="833">
        <v>-49947</v>
      </c>
      <c r="S18" s="832">
        <f t="shared" si="2"/>
        <v>-120497</v>
      </c>
      <c r="T18" s="827">
        <v>-70550</v>
      </c>
      <c r="U18" s="834">
        <f t="shared" si="0"/>
        <v>-363469</v>
      </c>
      <c r="V18" s="823">
        <v>-151168</v>
      </c>
      <c r="W18" s="830">
        <v>-93989</v>
      </c>
      <c r="X18" s="835">
        <v>-72613</v>
      </c>
      <c r="Y18" s="850">
        <v>-45701</v>
      </c>
      <c r="Z18" s="823">
        <v>-54802</v>
      </c>
      <c r="AA18" s="826">
        <v>-18829</v>
      </c>
      <c r="AB18" s="826">
        <v>-1133</v>
      </c>
      <c r="AC18" s="818"/>
      <c r="AD18" s="818"/>
      <c r="AE18" s="818"/>
      <c r="AF18" s="853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2.75">
      <c r="A19" s="97">
        <v>3</v>
      </c>
      <c r="B19" s="164" t="s">
        <v>184</v>
      </c>
      <c r="C19" s="246">
        <f t="shared" si="3"/>
        <v>0</v>
      </c>
      <c r="D19" s="243"/>
      <c r="E19" s="429"/>
      <c r="F19" s="238"/>
      <c r="G19" s="243"/>
      <c r="H19" s="247"/>
      <c r="I19" s="246"/>
      <c r="J19" s="248">
        <f t="shared" si="4"/>
        <v>1129</v>
      </c>
      <c r="K19" s="237">
        <f t="shared" si="1"/>
        <v>0</v>
      </c>
      <c r="L19" s="282"/>
      <c r="M19" s="779"/>
      <c r="N19" s="368"/>
      <c r="O19" s="282"/>
      <c r="P19" s="368"/>
      <c r="Q19" s="856">
        <v>1129</v>
      </c>
      <c r="R19" s="291"/>
      <c r="S19" s="237">
        <f t="shared" si="2"/>
        <v>0</v>
      </c>
      <c r="T19" s="246"/>
      <c r="U19" s="291">
        <f t="shared" si="0"/>
        <v>1129</v>
      </c>
      <c r="V19" s="442"/>
      <c r="W19" s="449">
        <v>1129</v>
      </c>
      <c r="X19" s="476"/>
      <c r="Y19" s="579"/>
      <c r="Z19" s="311"/>
      <c r="AA19" s="247"/>
      <c r="AB19" s="247"/>
      <c r="AC19" s="327"/>
      <c r="AD19" s="327"/>
      <c r="AE19" s="327"/>
      <c r="AF19" s="240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2.75">
      <c r="A20" s="221">
        <v>3</v>
      </c>
      <c r="B20" s="164" t="s">
        <v>176</v>
      </c>
      <c r="C20" s="246">
        <f t="shared" si="3"/>
        <v>0</v>
      </c>
      <c r="D20" s="243"/>
      <c r="E20" s="429"/>
      <c r="F20" s="238"/>
      <c r="G20" s="243"/>
      <c r="H20" s="247"/>
      <c r="I20" s="246"/>
      <c r="J20" s="248">
        <f t="shared" si="4"/>
        <v>207551</v>
      </c>
      <c r="K20" s="311">
        <f t="shared" si="1"/>
        <v>0</v>
      </c>
      <c r="L20" s="522"/>
      <c r="M20" s="780"/>
      <c r="N20" s="282"/>
      <c r="O20" s="282"/>
      <c r="P20" s="371"/>
      <c r="Q20" s="369"/>
      <c r="R20" s="291">
        <v>207551</v>
      </c>
      <c r="S20" s="237">
        <f t="shared" si="2"/>
        <v>207551</v>
      </c>
      <c r="T20" s="373"/>
      <c r="U20" s="291">
        <f t="shared" si="0"/>
        <v>207551</v>
      </c>
      <c r="V20" s="443"/>
      <c r="W20" s="449">
        <v>207551</v>
      </c>
      <c r="X20" s="447"/>
      <c r="Y20" s="477"/>
      <c r="Z20" s="311"/>
      <c r="AA20" s="249"/>
      <c r="AB20" s="249"/>
      <c r="AC20" s="327"/>
      <c r="AD20" s="327"/>
      <c r="AE20" s="563"/>
      <c r="AF20" s="328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766" customFormat="1" ht="12.75">
      <c r="A21" s="221">
        <v>3</v>
      </c>
      <c r="B21" s="164" t="s">
        <v>177</v>
      </c>
      <c r="C21" s="753">
        <f t="shared" si="3"/>
        <v>0</v>
      </c>
      <c r="D21" s="754"/>
      <c r="E21" s="755"/>
      <c r="F21" s="756"/>
      <c r="G21" s="754"/>
      <c r="H21" s="757"/>
      <c r="I21" s="753"/>
      <c r="J21" s="758">
        <f t="shared" si="4"/>
        <v>-794</v>
      </c>
      <c r="K21" s="793">
        <f t="shared" si="1"/>
        <v>0</v>
      </c>
      <c r="L21" s="717"/>
      <c r="M21" s="759"/>
      <c r="N21" s="760"/>
      <c r="O21" s="760"/>
      <c r="P21" s="717"/>
      <c r="Q21" s="795">
        <v>-794</v>
      </c>
      <c r="R21" s="788"/>
      <c r="S21" s="789">
        <f t="shared" si="2"/>
        <v>0</v>
      </c>
      <c r="T21" s="790"/>
      <c r="U21" s="791">
        <f t="shared" si="0"/>
        <v>-794</v>
      </c>
      <c r="V21" s="445"/>
      <c r="W21" s="449"/>
      <c r="X21" s="792"/>
      <c r="Y21" s="478">
        <v>-794</v>
      </c>
      <c r="Z21" s="675"/>
      <c r="AA21" s="757"/>
      <c r="AB21" s="761"/>
      <c r="AC21" s="762"/>
      <c r="AD21" s="762"/>
      <c r="AE21" s="763"/>
      <c r="AF21" s="764"/>
      <c r="AG21" s="765"/>
      <c r="AH21" s="765"/>
      <c r="AI21" s="765"/>
      <c r="AJ21" s="765"/>
      <c r="AK21" s="765"/>
      <c r="AL21" s="765"/>
      <c r="AM21" s="765"/>
      <c r="AN21" s="765"/>
      <c r="AO21" s="765"/>
      <c r="AP21" s="765"/>
      <c r="AQ21" s="765"/>
      <c r="AR21" s="765"/>
      <c r="AS21" s="765"/>
      <c r="AT21" s="765"/>
    </row>
    <row r="22" spans="1:46" ht="12.75">
      <c r="A22" s="221">
        <v>3</v>
      </c>
      <c r="B22" s="164" t="s">
        <v>178</v>
      </c>
      <c r="C22" s="251">
        <f t="shared" si="3"/>
        <v>0</v>
      </c>
      <c r="D22" s="245"/>
      <c r="E22" s="431"/>
      <c r="F22" s="642"/>
      <c r="G22" s="245"/>
      <c r="H22" s="249"/>
      <c r="I22" s="251"/>
      <c r="J22" s="241">
        <f t="shared" si="4"/>
        <v>-394</v>
      </c>
      <c r="K22" s="252">
        <f t="shared" si="1"/>
        <v>0</v>
      </c>
      <c r="L22" s="250"/>
      <c r="M22" s="484"/>
      <c r="N22" s="250"/>
      <c r="O22" s="250"/>
      <c r="P22" s="250"/>
      <c r="Q22" s="334"/>
      <c r="R22" s="788">
        <v>-394</v>
      </c>
      <c r="S22" s="237">
        <f t="shared" si="2"/>
        <v>-394</v>
      </c>
      <c r="T22" s="238"/>
      <c r="U22" s="308">
        <f t="shared" si="0"/>
        <v>-394</v>
      </c>
      <c r="V22" s="443"/>
      <c r="W22" s="476">
        <v>-394</v>
      </c>
      <c r="X22" s="476"/>
      <c r="Y22" s="477"/>
      <c r="Z22" s="674"/>
      <c r="AA22" s="249"/>
      <c r="AB22" s="247"/>
      <c r="AC22" s="327"/>
      <c r="AD22" s="327"/>
      <c r="AE22" s="563"/>
      <c r="AF22" s="328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2" s="722" customFormat="1" ht="12.75">
      <c r="A23" s="221">
        <v>3</v>
      </c>
      <c r="B23" s="164" t="s">
        <v>179</v>
      </c>
      <c r="C23" s="746">
        <f t="shared" si="3"/>
        <v>0</v>
      </c>
      <c r="D23" s="747"/>
      <c r="E23" s="748"/>
      <c r="F23" s="749"/>
      <c r="G23" s="747"/>
      <c r="H23" s="712"/>
      <c r="I23" s="746"/>
      <c r="J23" s="709">
        <f t="shared" si="4"/>
        <v>750</v>
      </c>
      <c r="K23" s="446">
        <f t="shared" si="1"/>
        <v>0</v>
      </c>
      <c r="L23" s="712"/>
      <c r="M23" s="723"/>
      <c r="N23" s="712"/>
      <c r="O23" s="712"/>
      <c r="P23" s="712"/>
      <c r="Q23" s="798">
        <v>750</v>
      </c>
      <c r="R23" s="714"/>
      <c r="S23" s="523">
        <f t="shared" si="2"/>
        <v>0</v>
      </c>
      <c r="T23" s="790"/>
      <c r="U23" s="291">
        <f t="shared" si="0"/>
        <v>750</v>
      </c>
      <c r="V23" s="747"/>
      <c r="W23" s="476">
        <v>750</v>
      </c>
      <c r="X23" s="767"/>
      <c r="Y23" s="716"/>
      <c r="Z23" s="786"/>
      <c r="AA23" s="712"/>
      <c r="AB23" s="751"/>
      <c r="AC23" s="718"/>
      <c r="AD23" s="718"/>
      <c r="AE23" s="719"/>
      <c r="AF23" s="752"/>
      <c r="AG23" s="721"/>
      <c r="AH23" s="721"/>
      <c r="AI23" s="721"/>
      <c r="AJ23" s="721"/>
      <c r="AK23" s="721"/>
      <c r="AL23" s="721"/>
      <c r="AM23" s="721"/>
      <c r="AN23" s="721"/>
      <c r="AO23" s="721"/>
      <c r="AP23" s="721"/>
    </row>
    <row r="24" spans="1:42" ht="12.75">
      <c r="A24" s="221">
        <v>3</v>
      </c>
      <c r="B24" s="164" t="s">
        <v>180</v>
      </c>
      <c r="C24" s="241">
        <f t="shared" si="3"/>
        <v>0</v>
      </c>
      <c r="D24" s="252"/>
      <c r="E24" s="264"/>
      <c r="F24" s="643"/>
      <c r="G24" s="252"/>
      <c r="H24" s="261"/>
      <c r="I24" s="241"/>
      <c r="J24" s="241">
        <f t="shared" si="4"/>
        <v>1501</v>
      </c>
      <c r="K24" s="252">
        <f t="shared" si="1"/>
        <v>0</v>
      </c>
      <c r="L24" s="236"/>
      <c r="M24" s="485"/>
      <c r="N24" s="236"/>
      <c r="O24" s="236"/>
      <c r="P24" s="236"/>
      <c r="Q24" s="292"/>
      <c r="R24" s="291">
        <v>1501</v>
      </c>
      <c r="S24" s="237">
        <f t="shared" si="2"/>
        <v>1501</v>
      </c>
      <c r="T24" s="263"/>
      <c r="U24" s="308">
        <f t="shared" si="0"/>
        <v>1501</v>
      </c>
      <c r="V24" s="446"/>
      <c r="W24" s="476">
        <v>1501</v>
      </c>
      <c r="X24" s="447"/>
      <c r="Y24" s="477"/>
      <c r="Z24" s="493"/>
      <c r="AA24" s="261"/>
      <c r="AB24" s="261"/>
      <c r="AC24" s="327"/>
      <c r="AD24" s="327"/>
      <c r="AE24" s="563"/>
      <c r="AF24" s="33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2.75">
      <c r="A25" s="221">
        <v>3</v>
      </c>
      <c r="B25" s="164" t="s">
        <v>181</v>
      </c>
      <c r="C25" s="241">
        <f t="shared" si="3"/>
        <v>0</v>
      </c>
      <c r="D25" s="264"/>
      <c r="E25" s="264"/>
      <c r="F25" s="643"/>
      <c r="G25" s="252"/>
      <c r="H25" s="261"/>
      <c r="I25" s="241"/>
      <c r="J25" s="241">
        <f t="shared" si="4"/>
        <v>0</v>
      </c>
      <c r="K25" s="252">
        <f t="shared" si="1"/>
        <v>0</v>
      </c>
      <c r="L25" s="249">
        <v>-303</v>
      </c>
      <c r="M25" s="249">
        <v>303</v>
      </c>
      <c r="N25" s="249"/>
      <c r="O25" s="249"/>
      <c r="P25" s="249"/>
      <c r="Q25" s="289"/>
      <c r="R25" s="290"/>
      <c r="S25" s="311">
        <f t="shared" si="2"/>
        <v>0</v>
      </c>
      <c r="T25" s="364"/>
      <c r="U25" s="308">
        <f t="shared" si="0"/>
        <v>0</v>
      </c>
      <c r="V25" s="446"/>
      <c r="W25" s="476"/>
      <c r="X25" s="447"/>
      <c r="Y25" s="477"/>
      <c r="Z25" s="493">
        <v>-303</v>
      </c>
      <c r="AA25" s="261"/>
      <c r="AB25" s="261"/>
      <c r="AC25" s="327"/>
      <c r="AD25" s="327"/>
      <c r="AE25" s="563"/>
      <c r="AF25" s="33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2.75">
      <c r="A26" s="221">
        <v>3</v>
      </c>
      <c r="B26" s="164" t="s">
        <v>182</v>
      </c>
      <c r="C26" s="65">
        <f t="shared" si="3"/>
        <v>0</v>
      </c>
      <c r="D26" s="68"/>
      <c r="E26" s="68"/>
      <c r="F26" s="74"/>
      <c r="G26" s="66"/>
      <c r="H26" s="67"/>
      <c r="I26" s="65"/>
      <c r="J26" s="65">
        <f t="shared" si="4"/>
        <v>3000</v>
      </c>
      <c r="K26" s="66">
        <f t="shared" si="1"/>
        <v>2028</v>
      </c>
      <c r="L26" s="189">
        <v>1866</v>
      </c>
      <c r="M26" s="486">
        <v>162</v>
      </c>
      <c r="N26" s="189">
        <v>634</v>
      </c>
      <c r="O26" s="189">
        <v>38</v>
      </c>
      <c r="P26" s="189"/>
      <c r="Q26" s="67">
        <v>300</v>
      </c>
      <c r="R26" s="101"/>
      <c r="S26" s="100">
        <f t="shared" si="2"/>
        <v>0</v>
      </c>
      <c r="T26" s="212"/>
      <c r="U26" s="308">
        <f t="shared" si="0"/>
        <v>3000</v>
      </c>
      <c r="V26" s="446"/>
      <c r="W26" s="476">
        <v>3000</v>
      </c>
      <c r="X26" s="447"/>
      <c r="Y26" s="477"/>
      <c r="Z26" s="493">
        <v>1866</v>
      </c>
      <c r="AA26" s="67"/>
      <c r="AB26" s="67"/>
      <c r="AC26" s="284"/>
      <c r="AD26" s="284"/>
      <c r="AE26" s="383">
        <v>3000</v>
      </c>
      <c r="AF26" s="172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778" customFormat="1" ht="13.5" thickBot="1">
      <c r="A27" s="802">
        <v>1</v>
      </c>
      <c r="B27" s="804" t="s">
        <v>183</v>
      </c>
      <c r="C27" s="362">
        <f t="shared" si="3"/>
        <v>0</v>
      </c>
      <c r="D27" s="768"/>
      <c r="E27" s="768"/>
      <c r="F27" s="769"/>
      <c r="G27" s="770"/>
      <c r="H27" s="771"/>
      <c r="I27" s="362"/>
      <c r="J27" s="362">
        <f t="shared" si="4"/>
        <v>-11813</v>
      </c>
      <c r="K27" s="770">
        <f t="shared" si="1"/>
        <v>0</v>
      </c>
      <c r="L27" s="772"/>
      <c r="M27" s="773"/>
      <c r="N27" s="772"/>
      <c r="O27" s="772"/>
      <c r="P27" s="772"/>
      <c r="Q27" s="771"/>
      <c r="R27" s="290">
        <v>-11813</v>
      </c>
      <c r="S27" s="363">
        <f t="shared" si="2"/>
        <v>0</v>
      </c>
      <c r="T27" s="365">
        <v>11813</v>
      </c>
      <c r="U27" s="616">
        <f t="shared" si="0"/>
        <v>0</v>
      </c>
      <c r="V27" s="770"/>
      <c r="W27" s="476"/>
      <c r="X27" s="771"/>
      <c r="Y27" s="774"/>
      <c r="Z27" s="787"/>
      <c r="AA27" s="771"/>
      <c r="AB27" s="771"/>
      <c r="AC27" s="620"/>
      <c r="AD27" s="620"/>
      <c r="AE27" s="775"/>
      <c r="AF27" s="776"/>
      <c r="AG27" s="777"/>
      <c r="AH27" s="777"/>
      <c r="AI27" s="777"/>
      <c r="AJ27" s="777"/>
      <c r="AK27" s="777"/>
      <c r="AL27" s="777"/>
      <c r="AM27" s="777"/>
      <c r="AN27" s="777"/>
      <c r="AO27" s="777"/>
      <c r="AP27" s="777"/>
    </row>
    <row r="28" spans="1:42" ht="13.5" hidden="1" thickBot="1">
      <c r="A28" s="129"/>
      <c r="B28" s="164"/>
      <c r="C28" s="64"/>
      <c r="D28" s="67"/>
      <c r="E28" s="67"/>
      <c r="F28" s="212"/>
      <c r="G28" s="66"/>
      <c r="H28" s="67"/>
      <c r="I28" s="64"/>
      <c r="J28" s="241">
        <f t="shared" si="4"/>
        <v>0</v>
      </c>
      <c r="K28" s="66">
        <f t="shared" si="1"/>
        <v>0</v>
      </c>
      <c r="L28" s="68"/>
      <c r="M28" s="250"/>
      <c r="N28" s="68"/>
      <c r="O28" s="68"/>
      <c r="P28" s="189"/>
      <c r="Q28" s="67"/>
      <c r="R28" s="290"/>
      <c r="S28" s="363">
        <f t="shared" si="2"/>
        <v>0</v>
      </c>
      <c r="T28" s="365"/>
      <c r="U28" s="308">
        <f t="shared" si="0"/>
        <v>0</v>
      </c>
      <c r="V28" s="446"/>
      <c r="W28" s="450"/>
      <c r="X28" s="447"/>
      <c r="Y28" s="477"/>
      <c r="Z28" s="493"/>
      <c r="AA28" s="67"/>
      <c r="AB28" s="67"/>
      <c r="AC28" s="284"/>
      <c r="AD28" s="284"/>
      <c r="AE28" s="383"/>
      <c r="AF28" s="172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3.5" hidden="1" thickBot="1">
      <c r="A29" s="152"/>
      <c r="B29" s="56"/>
      <c r="C29" s="130"/>
      <c r="D29" s="131"/>
      <c r="E29" s="432"/>
      <c r="F29" s="432"/>
      <c r="G29" s="131"/>
      <c r="H29" s="153"/>
      <c r="I29" s="132"/>
      <c r="J29" s="65">
        <f t="shared" si="4"/>
        <v>0</v>
      </c>
      <c r="K29" s="273">
        <f t="shared" si="1"/>
        <v>0</v>
      </c>
      <c r="L29" s="153"/>
      <c r="M29" s="487"/>
      <c r="N29" s="281"/>
      <c r="O29" s="153"/>
      <c r="P29" s="153"/>
      <c r="Q29" s="312"/>
      <c r="R29" s="312"/>
      <c r="S29" s="100">
        <f t="shared" si="2"/>
        <v>0</v>
      </c>
      <c r="T29" s="313"/>
      <c r="U29" s="308">
        <f t="shared" si="0"/>
        <v>0</v>
      </c>
      <c r="V29" s="448"/>
      <c r="W29" s="451"/>
      <c r="X29" s="479"/>
      <c r="Y29" s="480"/>
      <c r="Z29" s="676"/>
      <c r="AA29" s="153"/>
      <c r="AB29" s="335"/>
      <c r="AC29" s="335"/>
      <c r="AD29" s="335"/>
      <c r="AE29" s="381"/>
      <c r="AF29" s="336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7.25" customHeight="1" thickBot="1">
      <c r="A30" s="157"/>
      <c r="B30" s="34" t="s">
        <v>36</v>
      </c>
      <c r="C30" s="90">
        <f aca="true" t="shared" si="5" ref="C30:C98">D30+E30+F30+G30+H30</f>
        <v>0</v>
      </c>
      <c r="D30" s="91">
        <f aca="true" t="shared" si="6" ref="D30:I30">SUM(D19:D29)</f>
        <v>0</v>
      </c>
      <c r="E30" s="91">
        <f t="shared" si="6"/>
        <v>0</v>
      </c>
      <c r="F30" s="138">
        <f t="shared" si="6"/>
        <v>0</v>
      </c>
      <c r="G30" s="197">
        <f t="shared" si="6"/>
        <v>0</v>
      </c>
      <c r="H30" s="91">
        <f t="shared" si="6"/>
        <v>0</v>
      </c>
      <c r="I30" s="90">
        <f t="shared" si="6"/>
        <v>0</v>
      </c>
      <c r="J30" s="90">
        <f t="shared" si="4"/>
        <v>200930</v>
      </c>
      <c r="K30" s="91">
        <f>SUM(K19:K29)</f>
        <v>2028</v>
      </c>
      <c r="L30" s="91">
        <f aca="true" t="shared" si="7" ref="L30:R30">SUM(L19:L29)</f>
        <v>1563</v>
      </c>
      <c r="M30" s="91">
        <f t="shared" si="7"/>
        <v>465</v>
      </c>
      <c r="N30" s="91">
        <f t="shared" si="7"/>
        <v>634</v>
      </c>
      <c r="O30" s="91">
        <f t="shared" si="7"/>
        <v>38</v>
      </c>
      <c r="P30" s="138">
        <f t="shared" si="7"/>
        <v>0</v>
      </c>
      <c r="Q30" s="140">
        <f t="shared" si="7"/>
        <v>1385</v>
      </c>
      <c r="R30" s="140">
        <f t="shared" si="7"/>
        <v>196845</v>
      </c>
      <c r="S30" s="140">
        <f aca="true" t="shared" si="8" ref="S30:AF30">SUM(S19:S28)</f>
        <v>208658</v>
      </c>
      <c r="T30" s="140">
        <f t="shared" si="8"/>
        <v>11813</v>
      </c>
      <c r="U30" s="140">
        <f>SUM(U19:U29)</f>
        <v>212743</v>
      </c>
      <c r="V30" s="140">
        <f t="shared" si="8"/>
        <v>0</v>
      </c>
      <c r="W30" s="140">
        <f t="shared" si="8"/>
        <v>213537</v>
      </c>
      <c r="X30" s="140">
        <f t="shared" si="8"/>
        <v>0</v>
      </c>
      <c r="Y30" s="140">
        <f t="shared" si="8"/>
        <v>-794</v>
      </c>
      <c r="Z30" s="197">
        <f>SUM(Z19:Z29)</f>
        <v>1563</v>
      </c>
      <c r="AA30" s="140">
        <f t="shared" si="8"/>
        <v>0</v>
      </c>
      <c r="AB30" s="140">
        <f t="shared" si="8"/>
        <v>0</v>
      </c>
      <c r="AC30" s="283">
        <f t="shared" si="8"/>
        <v>0</v>
      </c>
      <c r="AD30" s="283">
        <f t="shared" si="8"/>
        <v>0</v>
      </c>
      <c r="AE30" s="382">
        <f t="shared" si="8"/>
        <v>3000</v>
      </c>
      <c r="AF30" s="337">
        <f t="shared" si="8"/>
        <v>0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896">
        <v>3</v>
      </c>
      <c r="B31" s="158" t="s">
        <v>188</v>
      </c>
      <c r="C31" s="158">
        <f t="shared" si="5"/>
        <v>0</v>
      </c>
      <c r="D31" s="159"/>
      <c r="E31" s="433"/>
      <c r="F31" s="433"/>
      <c r="G31" s="159"/>
      <c r="H31" s="160"/>
      <c r="I31" s="161"/>
      <c r="J31" s="162">
        <f t="shared" si="4"/>
        <v>68700</v>
      </c>
      <c r="K31" s="163"/>
      <c r="L31" s="160"/>
      <c r="M31" s="160"/>
      <c r="N31" s="160"/>
      <c r="O31" s="67"/>
      <c r="P31" s="212"/>
      <c r="Q31" s="189">
        <v>68700</v>
      </c>
      <c r="R31" s="189"/>
      <c r="S31" s="498">
        <f>R31+T31</f>
        <v>0</v>
      </c>
      <c r="T31" s="525"/>
      <c r="U31" s="498">
        <f aca="true" t="shared" si="9" ref="U31:U42">T31+J31</f>
        <v>68700</v>
      </c>
      <c r="V31" s="67"/>
      <c r="W31" s="67">
        <v>68700</v>
      </c>
      <c r="X31" s="67"/>
      <c r="Y31" s="380"/>
      <c r="Z31" s="402"/>
      <c r="AA31" s="67"/>
      <c r="AB31" s="67"/>
      <c r="AC31" s="284"/>
      <c r="AD31" s="284"/>
      <c r="AE31" s="383"/>
      <c r="AF31" s="172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889">
        <v>3</v>
      </c>
      <c r="B32" s="56" t="s">
        <v>189</v>
      </c>
      <c r="C32" s="65">
        <f t="shared" si="5"/>
        <v>0</v>
      </c>
      <c r="D32" s="68"/>
      <c r="E32" s="68"/>
      <c r="F32" s="74"/>
      <c r="G32" s="66"/>
      <c r="H32" s="68"/>
      <c r="I32" s="65"/>
      <c r="J32" s="65">
        <f t="shared" si="4"/>
        <v>5545</v>
      </c>
      <c r="K32" s="68"/>
      <c r="L32" s="68"/>
      <c r="M32" s="68"/>
      <c r="N32" s="68"/>
      <c r="O32" s="68"/>
      <c r="P32" s="74"/>
      <c r="Q32" s="67">
        <v>5545</v>
      </c>
      <c r="R32" s="67"/>
      <c r="S32" s="498">
        <f aca="true" t="shared" si="10" ref="S32:S48">R32+T32</f>
        <v>0</v>
      </c>
      <c r="T32" s="310"/>
      <c r="U32" s="67">
        <f t="shared" si="9"/>
        <v>5545</v>
      </c>
      <c r="V32" s="67"/>
      <c r="W32" s="67"/>
      <c r="X32" s="67"/>
      <c r="Y32" s="380">
        <v>5545</v>
      </c>
      <c r="Z32" s="402"/>
      <c r="AA32" s="67"/>
      <c r="AB32" s="67"/>
      <c r="AC32" s="284"/>
      <c r="AD32" s="284"/>
      <c r="AE32" s="383"/>
      <c r="AF32" s="172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922">
        <v>1</v>
      </c>
      <c r="B33" s="938" t="s">
        <v>190</v>
      </c>
      <c r="C33" s="709">
        <f t="shared" si="5"/>
        <v>0</v>
      </c>
      <c r="D33" s="710"/>
      <c r="E33" s="710"/>
      <c r="F33" s="711"/>
      <c r="G33" s="688"/>
      <c r="H33" s="710"/>
      <c r="I33" s="709"/>
      <c r="J33" s="709">
        <f t="shared" si="4"/>
        <v>17192</v>
      </c>
      <c r="K33" s="710"/>
      <c r="L33" s="710"/>
      <c r="M33" s="710"/>
      <c r="N33" s="710"/>
      <c r="O33" s="710"/>
      <c r="P33" s="711"/>
      <c r="Q33" s="685"/>
      <c r="R33" s="685">
        <v>17192</v>
      </c>
      <c r="S33" s="685">
        <f t="shared" si="10"/>
        <v>0</v>
      </c>
      <c r="T33" s="685">
        <v>-17192</v>
      </c>
      <c r="U33" s="685">
        <f t="shared" si="9"/>
        <v>0</v>
      </c>
      <c r="V33" s="685"/>
      <c r="W33" s="685"/>
      <c r="X33" s="685"/>
      <c r="Y33" s="719"/>
      <c r="Z33" s="943"/>
      <c r="AA33" s="685"/>
      <c r="AB33" s="685"/>
      <c r="AC33" s="944"/>
      <c r="AD33" s="944"/>
      <c r="AE33" s="719"/>
      <c r="AF33" s="720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889">
        <v>3</v>
      </c>
      <c r="B34" s="56" t="s">
        <v>193</v>
      </c>
      <c r="C34" s="65">
        <f t="shared" si="5"/>
        <v>0</v>
      </c>
      <c r="D34" s="68"/>
      <c r="E34" s="68"/>
      <c r="F34" s="74"/>
      <c r="G34" s="66"/>
      <c r="H34" s="68"/>
      <c r="I34" s="65"/>
      <c r="J34" s="65">
        <f t="shared" si="4"/>
        <v>32592</v>
      </c>
      <c r="K34" s="68"/>
      <c r="L34" s="68"/>
      <c r="M34" s="68"/>
      <c r="N34" s="68"/>
      <c r="O34" s="68"/>
      <c r="P34" s="74"/>
      <c r="Q34" s="67">
        <v>32592</v>
      </c>
      <c r="R34" s="67"/>
      <c r="S34" s="67">
        <f t="shared" si="10"/>
        <v>-32592</v>
      </c>
      <c r="T34" s="67">
        <v>-32592</v>
      </c>
      <c r="U34" s="67">
        <f t="shared" si="9"/>
        <v>0</v>
      </c>
      <c r="V34" s="67"/>
      <c r="W34" s="67"/>
      <c r="X34" s="67"/>
      <c r="Y34" s="383"/>
      <c r="Z34" s="198"/>
      <c r="AA34" s="67"/>
      <c r="AB34" s="67"/>
      <c r="AC34" s="190"/>
      <c r="AD34" s="190"/>
      <c r="AE34" s="383"/>
      <c r="AF34" s="172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890">
        <v>3</v>
      </c>
      <c r="B35" s="165" t="s">
        <v>194</v>
      </c>
      <c r="C35" s="98">
        <f t="shared" si="5"/>
        <v>0</v>
      </c>
      <c r="D35" s="99"/>
      <c r="E35" s="99"/>
      <c r="F35" s="173"/>
      <c r="G35" s="100"/>
      <c r="H35" s="99"/>
      <c r="I35" s="98"/>
      <c r="J35" s="65">
        <f t="shared" si="4"/>
        <v>0</v>
      </c>
      <c r="K35" s="99"/>
      <c r="L35" s="99"/>
      <c r="M35" s="99"/>
      <c r="N35" s="99"/>
      <c r="O35" s="99"/>
      <c r="P35" s="173"/>
      <c r="Q35" s="310"/>
      <c r="R35" s="310"/>
      <c r="S35" s="310">
        <f t="shared" si="10"/>
        <v>2500</v>
      </c>
      <c r="T35" s="310">
        <v>2500</v>
      </c>
      <c r="U35" s="67">
        <f t="shared" si="9"/>
        <v>2500</v>
      </c>
      <c r="V35" s="310">
        <v>8500</v>
      </c>
      <c r="W35" s="310">
        <v>-6000</v>
      </c>
      <c r="X35" s="310"/>
      <c r="Y35" s="380"/>
      <c r="Z35" s="402"/>
      <c r="AA35" s="310"/>
      <c r="AB35" s="310"/>
      <c r="AC35" s="284"/>
      <c r="AD35" s="284"/>
      <c r="AE35" s="380"/>
      <c r="AF35" s="17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891">
        <v>3</v>
      </c>
      <c r="B36" s="165" t="s">
        <v>195</v>
      </c>
      <c r="C36" s="98">
        <f t="shared" si="5"/>
        <v>0</v>
      </c>
      <c r="D36" s="99"/>
      <c r="E36" s="99"/>
      <c r="F36" s="173"/>
      <c r="G36" s="100"/>
      <c r="H36" s="99"/>
      <c r="I36" s="98"/>
      <c r="J36" s="98">
        <f t="shared" si="4"/>
        <v>0</v>
      </c>
      <c r="K36" s="99"/>
      <c r="L36" s="99"/>
      <c r="M36" s="99"/>
      <c r="N36" s="99"/>
      <c r="O36" s="99"/>
      <c r="P36" s="173"/>
      <c r="Q36" s="310"/>
      <c r="R36" s="310"/>
      <c r="S36" s="310">
        <f t="shared" si="10"/>
        <v>0</v>
      </c>
      <c r="T36" s="310"/>
      <c r="U36" s="310">
        <f t="shared" si="9"/>
        <v>0</v>
      </c>
      <c r="V36" s="310"/>
      <c r="W36" s="310"/>
      <c r="X36" s="310"/>
      <c r="Y36" s="380"/>
      <c r="Z36" s="402"/>
      <c r="AA36" s="310"/>
      <c r="AB36" s="310"/>
      <c r="AC36" s="284"/>
      <c r="AD36" s="284"/>
      <c r="AE36" s="380"/>
      <c r="AF36" s="17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30" customFormat="1" ht="12.75">
      <c r="A37" s="891">
        <v>3</v>
      </c>
      <c r="B37" s="895" t="s">
        <v>196</v>
      </c>
      <c r="C37" s="897">
        <f t="shared" si="5"/>
        <v>0</v>
      </c>
      <c r="D37" s="898"/>
      <c r="E37" s="898"/>
      <c r="F37" s="899"/>
      <c r="G37" s="900"/>
      <c r="H37" s="898"/>
      <c r="I37" s="897"/>
      <c r="J37" s="897">
        <f t="shared" si="4"/>
        <v>0</v>
      </c>
      <c r="K37" s="898">
        <v>-300</v>
      </c>
      <c r="L37" s="898">
        <v>-4281</v>
      </c>
      <c r="M37" s="898">
        <v>3981</v>
      </c>
      <c r="N37" s="898">
        <v>-969</v>
      </c>
      <c r="O37" s="898">
        <v>-6</v>
      </c>
      <c r="P37" s="899"/>
      <c r="Q37" s="901">
        <v>1275</v>
      </c>
      <c r="R37" s="901"/>
      <c r="S37" s="901">
        <f t="shared" si="10"/>
        <v>0</v>
      </c>
      <c r="T37" s="901"/>
      <c r="U37" s="901">
        <f t="shared" si="9"/>
        <v>0</v>
      </c>
      <c r="V37" s="901">
        <v>-842</v>
      </c>
      <c r="W37" s="901">
        <v>1887</v>
      </c>
      <c r="X37" s="901">
        <v>-1045</v>
      </c>
      <c r="Y37" s="903"/>
      <c r="Z37" s="493">
        <v>-4281</v>
      </c>
      <c r="AA37" s="901"/>
      <c r="AB37" s="901"/>
      <c r="AC37" s="905"/>
      <c r="AD37" s="905"/>
      <c r="AE37" s="903"/>
      <c r="AF37" s="902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</row>
    <row r="38" spans="1:42" ht="12.75">
      <c r="A38" s="891">
        <v>3</v>
      </c>
      <c r="B38" s="895" t="s">
        <v>197</v>
      </c>
      <c r="C38" s="98">
        <f t="shared" si="5"/>
        <v>0</v>
      </c>
      <c r="D38" s="99"/>
      <c r="E38" s="99"/>
      <c r="F38" s="173"/>
      <c r="G38" s="100"/>
      <c r="H38" s="99"/>
      <c r="I38" s="98"/>
      <c r="J38" s="98">
        <f t="shared" si="4"/>
        <v>-116</v>
      </c>
      <c r="K38" s="99"/>
      <c r="L38" s="99"/>
      <c r="M38" s="99"/>
      <c r="N38" s="99"/>
      <c r="O38" s="99"/>
      <c r="P38" s="173"/>
      <c r="Q38" s="310"/>
      <c r="R38" s="310">
        <v>-116</v>
      </c>
      <c r="S38" s="310">
        <f t="shared" si="10"/>
        <v>-116</v>
      </c>
      <c r="T38" s="310"/>
      <c r="U38" s="310">
        <f t="shared" si="9"/>
        <v>-116</v>
      </c>
      <c r="V38" s="310"/>
      <c r="W38" s="310"/>
      <c r="X38" s="310">
        <v>-116</v>
      </c>
      <c r="Y38" s="380"/>
      <c r="Z38" s="402"/>
      <c r="AA38" s="310"/>
      <c r="AB38" s="310"/>
      <c r="AC38" s="284"/>
      <c r="AD38" s="284"/>
      <c r="AE38" s="380"/>
      <c r="AF38" s="17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102">
        <v>3</v>
      </c>
      <c r="B39" s="895" t="s">
        <v>200</v>
      </c>
      <c r="C39" s="98">
        <f t="shared" si="5"/>
        <v>0</v>
      </c>
      <c r="D39" s="99"/>
      <c r="E39" s="99"/>
      <c r="F39" s="173"/>
      <c r="G39" s="100"/>
      <c r="H39" s="99"/>
      <c r="I39" s="98"/>
      <c r="J39" s="98">
        <f t="shared" si="4"/>
        <v>0</v>
      </c>
      <c r="K39" s="99"/>
      <c r="L39" s="99"/>
      <c r="M39" s="99"/>
      <c r="N39" s="99"/>
      <c r="O39" s="99"/>
      <c r="P39" s="173"/>
      <c r="Q39" s="310"/>
      <c r="R39" s="310"/>
      <c r="S39" s="310">
        <f t="shared" si="10"/>
        <v>15000</v>
      </c>
      <c r="T39" s="310">
        <v>15000</v>
      </c>
      <c r="U39" s="310">
        <f t="shared" si="9"/>
        <v>15000</v>
      </c>
      <c r="V39" s="310"/>
      <c r="W39" s="310"/>
      <c r="X39" s="310"/>
      <c r="Y39" s="380">
        <v>15000</v>
      </c>
      <c r="Z39" s="402"/>
      <c r="AA39" s="310"/>
      <c r="AB39" s="310"/>
      <c r="AC39" s="284"/>
      <c r="AD39" s="284"/>
      <c r="AE39" s="380"/>
      <c r="AF39" s="17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891">
        <v>3</v>
      </c>
      <c r="B40" s="895" t="s">
        <v>201</v>
      </c>
      <c r="C40" s="98">
        <f t="shared" si="5"/>
        <v>0</v>
      </c>
      <c r="D40" s="99"/>
      <c r="E40" s="99"/>
      <c r="F40" s="173"/>
      <c r="G40" s="100"/>
      <c r="H40" s="99"/>
      <c r="I40" s="98"/>
      <c r="J40" s="98">
        <f t="shared" si="4"/>
        <v>17138</v>
      </c>
      <c r="K40" s="99"/>
      <c r="L40" s="99"/>
      <c r="M40" s="99"/>
      <c r="N40" s="99"/>
      <c r="O40" s="99"/>
      <c r="P40" s="173"/>
      <c r="Q40" s="310">
        <v>17138</v>
      </c>
      <c r="R40" s="310"/>
      <c r="S40" s="310">
        <f t="shared" si="10"/>
        <v>0</v>
      </c>
      <c r="T40" s="310"/>
      <c r="U40" s="310">
        <f t="shared" si="9"/>
        <v>17138</v>
      </c>
      <c r="V40" s="310">
        <v>17138</v>
      </c>
      <c r="W40" s="310"/>
      <c r="X40" s="310"/>
      <c r="Y40" s="380"/>
      <c r="Z40" s="402"/>
      <c r="AA40" s="310"/>
      <c r="AB40" s="310"/>
      <c r="AC40" s="284"/>
      <c r="AD40" s="284"/>
      <c r="AE40" s="380"/>
      <c r="AF40" s="17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891">
        <v>3</v>
      </c>
      <c r="B41" s="895" t="s">
        <v>198</v>
      </c>
      <c r="C41" s="98">
        <f t="shared" si="5"/>
        <v>0</v>
      </c>
      <c r="D41" s="99"/>
      <c r="E41" s="99"/>
      <c r="F41" s="173"/>
      <c r="G41" s="100"/>
      <c r="H41" s="99"/>
      <c r="I41" s="98"/>
      <c r="J41" s="98">
        <f t="shared" si="4"/>
        <v>25000</v>
      </c>
      <c r="K41" s="99"/>
      <c r="L41" s="99"/>
      <c r="M41" s="99"/>
      <c r="N41" s="99"/>
      <c r="O41" s="99"/>
      <c r="P41" s="173"/>
      <c r="Q41" s="310">
        <v>25000</v>
      </c>
      <c r="R41" s="310"/>
      <c r="S41" s="310">
        <f t="shared" si="10"/>
        <v>0</v>
      </c>
      <c r="T41" s="310"/>
      <c r="U41" s="310">
        <f t="shared" si="9"/>
        <v>25000</v>
      </c>
      <c r="V41" s="310"/>
      <c r="W41" s="310"/>
      <c r="X41" s="310">
        <v>25000</v>
      </c>
      <c r="Y41" s="380"/>
      <c r="Z41" s="402"/>
      <c r="AA41" s="310"/>
      <c r="AB41" s="310"/>
      <c r="AC41" s="284"/>
      <c r="AD41" s="284"/>
      <c r="AE41" s="380"/>
      <c r="AF41" s="17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2.75">
      <c r="A42" s="102">
        <v>3</v>
      </c>
      <c r="B42" s="895" t="s">
        <v>203</v>
      </c>
      <c r="C42" s="98">
        <f t="shared" si="5"/>
        <v>0</v>
      </c>
      <c r="D42" s="99"/>
      <c r="E42" s="99"/>
      <c r="F42" s="173"/>
      <c r="G42" s="100"/>
      <c r="H42" s="99"/>
      <c r="I42" s="98"/>
      <c r="J42" s="98">
        <f t="shared" si="4"/>
        <v>0</v>
      </c>
      <c r="K42" s="99">
        <v>478</v>
      </c>
      <c r="L42" s="99">
        <v>478</v>
      </c>
      <c r="M42" s="99"/>
      <c r="N42" s="99">
        <v>164</v>
      </c>
      <c r="O42" s="99">
        <v>10</v>
      </c>
      <c r="P42" s="173"/>
      <c r="Q42" s="310">
        <v>-652</v>
      </c>
      <c r="R42" s="310"/>
      <c r="S42" s="310">
        <f t="shared" si="10"/>
        <v>0</v>
      </c>
      <c r="T42" s="310"/>
      <c r="U42" s="310">
        <f t="shared" si="9"/>
        <v>0</v>
      </c>
      <c r="V42" s="310"/>
      <c r="W42" s="310"/>
      <c r="X42" s="310"/>
      <c r="Y42" s="380"/>
      <c r="Z42" s="402">
        <v>478</v>
      </c>
      <c r="AA42" s="310"/>
      <c r="AB42" s="310"/>
      <c r="AC42" s="284"/>
      <c r="AD42" s="284"/>
      <c r="AE42" s="380"/>
      <c r="AF42" s="17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922">
        <v>1</v>
      </c>
      <c r="B43" s="923" t="s">
        <v>206</v>
      </c>
      <c r="C43" s="98">
        <f t="shared" si="5"/>
        <v>0</v>
      </c>
      <c r="D43" s="99"/>
      <c r="E43" s="99"/>
      <c r="F43" s="173"/>
      <c r="G43" s="100"/>
      <c r="H43" s="99"/>
      <c r="I43" s="98"/>
      <c r="J43" s="920">
        <f t="shared" si="4"/>
        <v>-10448</v>
      </c>
      <c r="K43" s="99"/>
      <c r="L43" s="99"/>
      <c r="M43" s="99"/>
      <c r="N43" s="99"/>
      <c r="O43" s="99"/>
      <c r="P43" s="173"/>
      <c r="Q43" s="310"/>
      <c r="R43" s="767">
        <v>-10448</v>
      </c>
      <c r="S43" s="767">
        <f t="shared" si="10"/>
        <v>0</v>
      </c>
      <c r="T43" s="767">
        <v>10448</v>
      </c>
      <c r="U43" s="767">
        <f aca="true" t="shared" si="11" ref="U43:U48">J43+T43</f>
        <v>0</v>
      </c>
      <c r="V43" s="310"/>
      <c r="W43" s="310"/>
      <c r="X43" s="310"/>
      <c r="Y43" s="380"/>
      <c r="Z43" s="402"/>
      <c r="AA43" s="310"/>
      <c r="AB43" s="310"/>
      <c r="AC43" s="284"/>
      <c r="AD43" s="284"/>
      <c r="AE43" s="380"/>
      <c r="AF43" s="17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2.75">
      <c r="A44" s="102">
        <v>3</v>
      </c>
      <c r="B44" s="895" t="s">
        <v>204</v>
      </c>
      <c r="C44" s="98">
        <f t="shared" si="5"/>
        <v>0</v>
      </c>
      <c r="D44" s="99"/>
      <c r="E44" s="99"/>
      <c r="F44" s="173"/>
      <c r="G44" s="100"/>
      <c r="H44" s="99"/>
      <c r="I44" s="98"/>
      <c r="J44" s="98">
        <f t="shared" si="4"/>
        <v>0</v>
      </c>
      <c r="K44" s="99"/>
      <c r="L44" s="99"/>
      <c r="M44" s="99"/>
      <c r="N44" s="99"/>
      <c r="O44" s="99"/>
      <c r="P44" s="173"/>
      <c r="Q44" s="310"/>
      <c r="R44" s="310"/>
      <c r="S44" s="310">
        <f t="shared" si="10"/>
        <v>0</v>
      </c>
      <c r="T44" s="310"/>
      <c r="U44" s="310">
        <f t="shared" si="11"/>
        <v>0</v>
      </c>
      <c r="V44" s="310">
        <v>110</v>
      </c>
      <c r="W44" s="310">
        <v>-110</v>
      </c>
      <c r="X44" s="310"/>
      <c r="Y44" s="380"/>
      <c r="Z44" s="929"/>
      <c r="AA44" s="926"/>
      <c r="AB44" s="926"/>
      <c r="AC44" s="930"/>
      <c r="AD44" s="930"/>
      <c r="AE44" s="928"/>
      <c r="AF44" s="931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2.75">
      <c r="A45" s="917">
        <v>1</v>
      </c>
      <c r="B45" s="918" t="s">
        <v>205</v>
      </c>
      <c r="C45" s="98">
        <f t="shared" si="5"/>
        <v>0</v>
      </c>
      <c r="D45" s="99"/>
      <c r="E45" s="99"/>
      <c r="F45" s="173"/>
      <c r="G45" s="100"/>
      <c r="H45" s="99"/>
      <c r="I45" s="98"/>
      <c r="J45" s="920">
        <f t="shared" si="4"/>
        <v>7000</v>
      </c>
      <c r="K45" s="99"/>
      <c r="L45" s="99"/>
      <c r="M45" s="99"/>
      <c r="N45" s="99"/>
      <c r="O45" s="99"/>
      <c r="P45" s="173"/>
      <c r="Q45" s="310"/>
      <c r="R45" s="767">
        <v>7000</v>
      </c>
      <c r="S45" s="767">
        <f t="shared" si="10"/>
        <v>0</v>
      </c>
      <c r="T45" s="767">
        <v>-7000</v>
      </c>
      <c r="U45" s="767">
        <f t="shared" si="11"/>
        <v>0</v>
      </c>
      <c r="V45" s="310"/>
      <c r="W45" s="310"/>
      <c r="X45" s="310"/>
      <c r="Y45" s="380"/>
      <c r="Z45" s="402"/>
      <c r="AA45" s="310"/>
      <c r="AB45" s="310"/>
      <c r="AC45" s="284"/>
      <c r="AD45" s="284"/>
      <c r="AE45" s="380"/>
      <c r="AF45" s="17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2.75">
      <c r="A46" s="891">
        <v>3</v>
      </c>
      <c r="B46" s="895" t="s">
        <v>207</v>
      </c>
      <c r="C46" s="98">
        <f t="shared" si="5"/>
        <v>0</v>
      </c>
      <c r="D46" s="99"/>
      <c r="E46" s="99"/>
      <c r="F46" s="173"/>
      <c r="G46" s="100"/>
      <c r="H46" s="99"/>
      <c r="I46" s="98"/>
      <c r="J46" s="98">
        <f t="shared" si="4"/>
        <v>-2283</v>
      </c>
      <c r="K46" s="99"/>
      <c r="L46" s="99"/>
      <c r="M46" s="99"/>
      <c r="N46" s="99"/>
      <c r="O46" s="99"/>
      <c r="P46" s="173"/>
      <c r="Q46" s="310">
        <v>-2283</v>
      </c>
      <c r="R46" s="310"/>
      <c r="S46" s="310">
        <f t="shared" si="10"/>
        <v>0</v>
      </c>
      <c r="T46" s="310"/>
      <c r="U46" s="310">
        <f t="shared" si="11"/>
        <v>-2283</v>
      </c>
      <c r="V46" s="310">
        <v>-2283</v>
      </c>
      <c r="W46" s="310"/>
      <c r="X46" s="310"/>
      <c r="Y46" s="380"/>
      <c r="Z46" s="402"/>
      <c r="AA46" s="310"/>
      <c r="AB46" s="310"/>
      <c r="AC46" s="284"/>
      <c r="AD46" s="284"/>
      <c r="AE46" s="380"/>
      <c r="AF46" s="17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2.75">
      <c r="A47" s="891">
        <v>3</v>
      </c>
      <c r="B47" s="895" t="s">
        <v>199</v>
      </c>
      <c r="C47" s="98">
        <f t="shared" si="5"/>
        <v>0</v>
      </c>
      <c r="D47" s="99"/>
      <c r="E47" s="99"/>
      <c r="F47" s="173"/>
      <c r="G47" s="100"/>
      <c r="H47" s="99"/>
      <c r="I47" s="98"/>
      <c r="J47" s="98">
        <f t="shared" si="4"/>
        <v>3000</v>
      </c>
      <c r="K47" s="99"/>
      <c r="L47" s="99"/>
      <c r="M47" s="99"/>
      <c r="N47" s="99"/>
      <c r="O47" s="99"/>
      <c r="P47" s="173"/>
      <c r="Q47" s="310">
        <v>3000</v>
      </c>
      <c r="R47" s="310"/>
      <c r="S47" s="310">
        <f t="shared" si="10"/>
        <v>0</v>
      </c>
      <c r="T47" s="310"/>
      <c r="U47" s="310">
        <f t="shared" si="11"/>
        <v>3000</v>
      </c>
      <c r="V47" s="310"/>
      <c r="W47" s="310"/>
      <c r="X47" s="310">
        <v>3000</v>
      </c>
      <c r="Y47" s="380"/>
      <c r="Z47" s="402"/>
      <c r="AA47" s="310"/>
      <c r="AB47" s="310"/>
      <c r="AC47" s="284"/>
      <c r="AD47" s="284"/>
      <c r="AE47" s="380"/>
      <c r="AF47" s="17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3.5" thickBot="1">
      <c r="A48" s="891">
        <v>3</v>
      </c>
      <c r="B48" s="895" t="s">
        <v>208</v>
      </c>
      <c r="C48" s="924">
        <f t="shared" si="5"/>
        <v>0</v>
      </c>
      <c r="D48" s="145"/>
      <c r="E48" s="145"/>
      <c r="F48" s="78"/>
      <c r="G48" s="925"/>
      <c r="H48" s="145"/>
      <c r="I48" s="924"/>
      <c r="J48" s="935">
        <f t="shared" si="4"/>
        <v>0</v>
      </c>
      <c r="K48" s="145"/>
      <c r="L48" s="145"/>
      <c r="M48" s="145"/>
      <c r="N48" s="145"/>
      <c r="O48" s="145"/>
      <c r="P48" s="78"/>
      <c r="Q48" s="926"/>
      <c r="R48" s="927"/>
      <c r="S48" s="934">
        <f t="shared" si="10"/>
        <v>3500</v>
      </c>
      <c r="T48" s="934">
        <v>3500</v>
      </c>
      <c r="U48" s="934">
        <f t="shared" si="11"/>
        <v>3500</v>
      </c>
      <c r="V48" s="934"/>
      <c r="W48" s="934">
        <v>3500</v>
      </c>
      <c r="X48" s="926"/>
      <c r="Y48" s="928"/>
      <c r="Z48" s="929"/>
      <c r="AA48" s="926"/>
      <c r="AB48" s="926"/>
      <c r="AC48" s="930"/>
      <c r="AD48" s="930"/>
      <c r="AE48" s="928"/>
      <c r="AF48" s="931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3.5" thickBot="1">
      <c r="A49" s="116"/>
      <c r="B49" s="34" t="s">
        <v>37</v>
      </c>
      <c r="C49" s="90">
        <f t="shared" si="5"/>
        <v>0</v>
      </c>
      <c r="D49" s="91">
        <f aca="true" t="shared" si="12" ref="D49:I49">SUM(D31:D48)</f>
        <v>0</v>
      </c>
      <c r="E49" s="91">
        <f t="shared" si="12"/>
        <v>0</v>
      </c>
      <c r="F49" s="138">
        <f t="shared" si="12"/>
        <v>0</v>
      </c>
      <c r="G49" s="197">
        <f t="shared" si="12"/>
        <v>0</v>
      </c>
      <c r="H49" s="91">
        <f t="shared" si="12"/>
        <v>0</v>
      </c>
      <c r="I49" s="90">
        <f t="shared" si="12"/>
        <v>0</v>
      </c>
      <c r="J49" s="90">
        <f>SUM(J31:J48)</f>
        <v>163320</v>
      </c>
      <c r="K49" s="91">
        <f aca="true" t="shared" si="13" ref="K49:R49">SUM(K31:K48)</f>
        <v>178</v>
      </c>
      <c r="L49" s="91">
        <f t="shared" si="13"/>
        <v>-3803</v>
      </c>
      <c r="M49" s="91">
        <f t="shared" si="13"/>
        <v>3981</v>
      </c>
      <c r="N49" s="91">
        <f t="shared" si="13"/>
        <v>-805</v>
      </c>
      <c r="O49" s="91">
        <f t="shared" si="13"/>
        <v>4</v>
      </c>
      <c r="P49" s="138">
        <f t="shared" si="13"/>
        <v>0</v>
      </c>
      <c r="Q49" s="140">
        <f t="shared" si="13"/>
        <v>150315</v>
      </c>
      <c r="R49" s="140">
        <f t="shared" si="13"/>
        <v>13628</v>
      </c>
      <c r="S49" s="140">
        <f>SUM(S31:S48)</f>
        <v>-11708</v>
      </c>
      <c r="T49" s="140">
        <f>SUM(T31:T48)</f>
        <v>-25336</v>
      </c>
      <c r="U49" s="140">
        <f>T49+J49</f>
        <v>137984</v>
      </c>
      <c r="V49" s="140">
        <f>SUM(V31:V48)</f>
        <v>22623</v>
      </c>
      <c r="W49" s="140">
        <f>SUM(W31:W48)</f>
        <v>67977</v>
      </c>
      <c r="X49" s="140">
        <f>SUM(X31:X48)</f>
        <v>26839</v>
      </c>
      <c r="Y49" s="382">
        <f>SUM(Y31:Y48)</f>
        <v>20545</v>
      </c>
      <c r="Z49" s="197">
        <f aca="true" t="shared" si="14" ref="Z49:AF49">SUM(Z31:Z48)</f>
        <v>-3803</v>
      </c>
      <c r="AA49" s="140">
        <f t="shared" si="14"/>
        <v>0</v>
      </c>
      <c r="AB49" s="140">
        <f t="shared" si="14"/>
        <v>0</v>
      </c>
      <c r="AC49" s="283">
        <f t="shared" si="14"/>
        <v>0</v>
      </c>
      <c r="AD49" s="283">
        <f t="shared" si="14"/>
        <v>0</v>
      </c>
      <c r="AE49" s="382">
        <f t="shared" si="14"/>
        <v>0</v>
      </c>
      <c r="AF49" s="337">
        <f t="shared" si="14"/>
        <v>0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2.75">
      <c r="A50" s="953">
        <v>1</v>
      </c>
      <c r="B50" s="952" t="s">
        <v>209</v>
      </c>
      <c r="C50" s="105">
        <f t="shared" si="5"/>
        <v>0</v>
      </c>
      <c r="D50" s="106"/>
      <c r="E50" s="106"/>
      <c r="F50" s="176"/>
      <c r="G50" s="107"/>
      <c r="H50" s="106"/>
      <c r="I50" s="105"/>
      <c r="J50" s="105">
        <f aca="true" t="shared" si="15" ref="J50:J62">K50+N50+O50+P50+Q50+R50</f>
        <v>-36522</v>
      </c>
      <c r="K50" s="106">
        <f>L50+M50</f>
        <v>0</v>
      </c>
      <c r="L50" s="106"/>
      <c r="M50" s="106"/>
      <c r="N50" s="106"/>
      <c r="O50" s="106"/>
      <c r="P50" s="176"/>
      <c r="Q50" s="217"/>
      <c r="R50" s="985">
        <v>-36522</v>
      </c>
      <c r="S50" s="949">
        <f>R50+T50</f>
        <v>0</v>
      </c>
      <c r="T50" s="949">
        <v>36522</v>
      </c>
      <c r="U50" s="217">
        <f>J50+T50</f>
        <v>0</v>
      </c>
      <c r="V50" s="217"/>
      <c r="W50" s="217"/>
      <c r="X50" s="217"/>
      <c r="Y50" s="384"/>
      <c r="Z50" s="403"/>
      <c r="AA50" s="217"/>
      <c r="AB50" s="217"/>
      <c r="AC50" s="285"/>
      <c r="AD50" s="285"/>
      <c r="AE50" s="384"/>
      <c r="AF50" s="177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2.75">
      <c r="A51" s="954">
        <v>1</v>
      </c>
      <c r="B51" s="804" t="s">
        <v>210</v>
      </c>
      <c r="C51" s="109">
        <f t="shared" si="5"/>
        <v>0</v>
      </c>
      <c r="D51" s="110"/>
      <c r="E51" s="110"/>
      <c r="F51" s="178"/>
      <c r="G51" s="111"/>
      <c r="H51" s="110"/>
      <c r="I51" s="109"/>
      <c r="J51" s="109">
        <f t="shared" si="15"/>
        <v>-296</v>
      </c>
      <c r="K51" s="110"/>
      <c r="L51" s="110"/>
      <c r="M51" s="110"/>
      <c r="N51" s="110"/>
      <c r="O51" s="110"/>
      <c r="P51" s="178"/>
      <c r="Q51" s="218"/>
      <c r="R51" s="767">
        <v>-296</v>
      </c>
      <c r="S51" s="951">
        <f aca="true" t="shared" si="16" ref="S51:S66">R51+T51</f>
        <v>0</v>
      </c>
      <c r="T51" s="951">
        <v>296</v>
      </c>
      <c r="U51" s="218">
        <f aca="true" t="shared" si="17" ref="U51:U64">J51+T51</f>
        <v>0</v>
      </c>
      <c r="V51" s="476"/>
      <c r="W51" s="476"/>
      <c r="X51" s="476"/>
      <c r="Y51" s="971"/>
      <c r="Z51" s="674"/>
      <c r="AA51" s="476"/>
      <c r="AB51" s="476"/>
      <c r="AC51" s="577"/>
      <c r="AD51" s="577"/>
      <c r="AE51" s="971"/>
      <c r="AF51" s="179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2.75">
      <c r="A52" s="97">
        <v>3</v>
      </c>
      <c r="B52" s="164" t="s">
        <v>211</v>
      </c>
      <c r="C52" s="109">
        <f t="shared" si="5"/>
        <v>0</v>
      </c>
      <c r="D52" s="110"/>
      <c r="E52" s="110"/>
      <c r="F52" s="178"/>
      <c r="G52" s="111"/>
      <c r="H52" s="110"/>
      <c r="I52" s="109"/>
      <c r="J52" s="109">
        <f t="shared" si="15"/>
        <v>5076</v>
      </c>
      <c r="K52" s="110"/>
      <c r="L52" s="110"/>
      <c r="M52" s="110"/>
      <c r="N52" s="110"/>
      <c r="O52" s="110"/>
      <c r="P52" s="178"/>
      <c r="Q52" s="476">
        <v>5076</v>
      </c>
      <c r="R52" s="970"/>
      <c r="S52" s="218">
        <f t="shared" si="16"/>
        <v>0</v>
      </c>
      <c r="T52" s="218"/>
      <c r="U52" s="218">
        <f t="shared" si="17"/>
        <v>5076</v>
      </c>
      <c r="V52" s="476"/>
      <c r="W52" s="476"/>
      <c r="X52" s="476"/>
      <c r="Y52" s="971">
        <v>5076</v>
      </c>
      <c r="Z52" s="674"/>
      <c r="AA52" s="476"/>
      <c r="AB52" s="476"/>
      <c r="AC52" s="577"/>
      <c r="AD52" s="577"/>
      <c r="AE52" s="971"/>
      <c r="AF52" s="179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2.75">
      <c r="A53" s="97">
        <v>3</v>
      </c>
      <c r="B53" s="164" t="s">
        <v>212</v>
      </c>
      <c r="C53" s="109">
        <f t="shared" si="5"/>
        <v>0</v>
      </c>
      <c r="D53" s="110"/>
      <c r="E53" s="110"/>
      <c r="F53" s="178"/>
      <c r="G53" s="111"/>
      <c r="H53" s="110"/>
      <c r="I53" s="109"/>
      <c r="J53" s="109">
        <f t="shared" si="15"/>
        <v>7432</v>
      </c>
      <c r="K53" s="110"/>
      <c r="L53" s="110"/>
      <c r="M53" s="110"/>
      <c r="N53" s="110"/>
      <c r="O53" s="110"/>
      <c r="P53" s="178"/>
      <c r="Q53" s="476">
        <v>7432</v>
      </c>
      <c r="R53" s="970"/>
      <c r="S53" s="218">
        <f t="shared" si="16"/>
        <v>-7432</v>
      </c>
      <c r="T53" s="218">
        <v>-7432</v>
      </c>
      <c r="U53" s="218">
        <f t="shared" si="17"/>
        <v>0</v>
      </c>
      <c r="V53" s="476"/>
      <c r="W53" s="476"/>
      <c r="X53" s="476"/>
      <c r="Y53" s="971"/>
      <c r="Z53" s="674"/>
      <c r="AA53" s="476"/>
      <c r="AB53" s="476"/>
      <c r="AC53" s="577"/>
      <c r="AD53" s="577"/>
      <c r="AE53" s="971"/>
      <c r="AF53" s="179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2.75">
      <c r="A54" s="954">
        <v>1</v>
      </c>
      <c r="B54" s="923" t="s">
        <v>213</v>
      </c>
      <c r="C54" s="109">
        <f t="shared" si="5"/>
        <v>0</v>
      </c>
      <c r="D54" s="110"/>
      <c r="E54" s="110"/>
      <c r="F54" s="178"/>
      <c r="G54" s="111"/>
      <c r="H54" s="110"/>
      <c r="I54" s="109"/>
      <c r="J54" s="109">
        <f t="shared" si="15"/>
        <v>-3673</v>
      </c>
      <c r="K54" s="110"/>
      <c r="L54" s="110"/>
      <c r="M54" s="110"/>
      <c r="N54" s="110"/>
      <c r="O54" s="110"/>
      <c r="P54" s="178"/>
      <c r="Q54" s="476"/>
      <c r="R54" s="767">
        <v>-3673</v>
      </c>
      <c r="S54" s="951">
        <f t="shared" si="16"/>
        <v>0</v>
      </c>
      <c r="T54" s="951">
        <v>3673</v>
      </c>
      <c r="U54" s="218">
        <f t="shared" si="17"/>
        <v>0</v>
      </c>
      <c r="V54" s="476"/>
      <c r="W54" s="476"/>
      <c r="X54" s="476"/>
      <c r="Y54" s="971"/>
      <c r="Z54" s="674"/>
      <c r="AA54" s="476"/>
      <c r="AB54" s="476"/>
      <c r="AC54" s="577"/>
      <c r="AD54" s="577"/>
      <c r="AE54" s="971"/>
      <c r="AF54" s="179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2.75">
      <c r="A55" s="954">
        <v>1</v>
      </c>
      <c r="B55" s="923" t="s">
        <v>214</v>
      </c>
      <c r="C55" s="109">
        <f t="shared" si="5"/>
        <v>0</v>
      </c>
      <c r="D55" s="110"/>
      <c r="E55" s="110"/>
      <c r="F55" s="178"/>
      <c r="G55" s="111"/>
      <c r="H55" s="110"/>
      <c r="I55" s="109"/>
      <c r="J55" s="109">
        <f t="shared" si="15"/>
        <v>16659</v>
      </c>
      <c r="K55" s="110">
        <f>L55+M55</f>
        <v>0</v>
      </c>
      <c r="L55" s="110"/>
      <c r="M55" s="110"/>
      <c r="N55" s="110"/>
      <c r="O55" s="110"/>
      <c r="P55" s="178"/>
      <c r="Q55" s="476"/>
      <c r="R55" s="767">
        <v>16659</v>
      </c>
      <c r="S55" s="951">
        <f t="shared" si="16"/>
        <v>0</v>
      </c>
      <c r="T55" s="951">
        <v>-16659</v>
      </c>
      <c r="U55" s="218">
        <f t="shared" si="17"/>
        <v>0</v>
      </c>
      <c r="V55" s="476"/>
      <c r="W55" s="476"/>
      <c r="X55" s="476"/>
      <c r="Y55" s="971"/>
      <c r="Z55" s="674"/>
      <c r="AA55" s="476"/>
      <c r="AB55" s="476"/>
      <c r="AC55" s="577"/>
      <c r="AD55" s="577"/>
      <c r="AE55" s="971"/>
      <c r="AF55" s="179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2.75">
      <c r="A56" s="97">
        <v>3</v>
      </c>
      <c r="B56" s="164" t="s">
        <v>215</v>
      </c>
      <c r="C56" s="109">
        <f t="shared" si="5"/>
        <v>0</v>
      </c>
      <c r="D56" s="110"/>
      <c r="E56" s="110"/>
      <c r="F56" s="178"/>
      <c r="G56" s="111"/>
      <c r="H56" s="110"/>
      <c r="I56" s="109"/>
      <c r="J56" s="109">
        <f t="shared" si="15"/>
        <v>15648</v>
      </c>
      <c r="K56" s="110"/>
      <c r="L56" s="110"/>
      <c r="M56" s="110"/>
      <c r="N56" s="110"/>
      <c r="O56" s="110"/>
      <c r="P56" s="178"/>
      <c r="Q56" s="476"/>
      <c r="R56" s="970">
        <v>15648</v>
      </c>
      <c r="S56" s="218">
        <f t="shared" si="16"/>
        <v>15648</v>
      </c>
      <c r="T56" s="218"/>
      <c r="U56" s="218">
        <f t="shared" si="17"/>
        <v>15648</v>
      </c>
      <c r="V56" s="476"/>
      <c r="W56" s="476">
        <v>15648</v>
      </c>
      <c r="X56" s="476"/>
      <c r="Y56" s="971"/>
      <c r="Z56" s="674"/>
      <c r="AA56" s="476"/>
      <c r="AB56" s="476"/>
      <c r="AC56" s="577"/>
      <c r="AD56" s="577"/>
      <c r="AE56" s="971"/>
      <c r="AF56" s="179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2.75">
      <c r="A57" s="954">
        <v>1</v>
      </c>
      <c r="B57" s="923" t="s">
        <v>216</v>
      </c>
      <c r="C57" s="109">
        <f t="shared" si="5"/>
        <v>0</v>
      </c>
      <c r="D57" s="110"/>
      <c r="E57" s="110"/>
      <c r="F57" s="178"/>
      <c r="G57" s="111"/>
      <c r="H57" s="110"/>
      <c r="I57" s="109"/>
      <c r="J57" s="109">
        <f t="shared" si="15"/>
        <v>4459</v>
      </c>
      <c r="K57" s="110"/>
      <c r="L57" s="110"/>
      <c r="M57" s="110"/>
      <c r="N57" s="110"/>
      <c r="O57" s="110"/>
      <c r="P57" s="178"/>
      <c r="Q57" s="476"/>
      <c r="R57" s="767">
        <v>4459</v>
      </c>
      <c r="S57" s="951">
        <f t="shared" si="16"/>
        <v>0</v>
      </c>
      <c r="T57" s="951">
        <v>-4459</v>
      </c>
      <c r="U57" s="218">
        <f t="shared" si="17"/>
        <v>0</v>
      </c>
      <c r="V57" s="476"/>
      <c r="W57" s="476"/>
      <c r="X57" s="476"/>
      <c r="Y57" s="971"/>
      <c r="Z57" s="674"/>
      <c r="AA57" s="476"/>
      <c r="AB57" s="476"/>
      <c r="AC57" s="577"/>
      <c r="AD57" s="577"/>
      <c r="AE57" s="971"/>
      <c r="AF57" s="179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2.75">
      <c r="A58" s="820">
        <v>1</v>
      </c>
      <c r="B58" s="821" t="s">
        <v>217</v>
      </c>
      <c r="C58" s="109">
        <f t="shared" si="5"/>
        <v>0</v>
      </c>
      <c r="D58" s="110"/>
      <c r="E58" s="110"/>
      <c r="F58" s="178"/>
      <c r="G58" s="111"/>
      <c r="H58" s="110"/>
      <c r="I58" s="109"/>
      <c r="J58" s="960">
        <f t="shared" si="15"/>
        <v>-326421</v>
      </c>
      <c r="K58" s="965">
        <f>L58+M58</f>
        <v>-139006</v>
      </c>
      <c r="L58" s="965">
        <v>-137673</v>
      </c>
      <c r="M58" s="965">
        <v>-1333</v>
      </c>
      <c r="N58" s="965">
        <v>-47374</v>
      </c>
      <c r="O58" s="965">
        <v>-2736</v>
      </c>
      <c r="P58" s="966">
        <v>0</v>
      </c>
      <c r="Q58" s="967">
        <v>-116257</v>
      </c>
      <c r="R58" s="967">
        <v>-21048</v>
      </c>
      <c r="S58" s="958">
        <f t="shared" si="16"/>
        <v>-93372</v>
      </c>
      <c r="T58" s="958">
        <v>-72324</v>
      </c>
      <c r="U58" s="958">
        <f t="shared" si="17"/>
        <v>-398745</v>
      </c>
      <c r="V58" s="967">
        <v>-196199</v>
      </c>
      <c r="W58" s="967">
        <v>-63520</v>
      </c>
      <c r="X58" s="967">
        <v>-98690</v>
      </c>
      <c r="Y58" s="958">
        <v>-40336</v>
      </c>
      <c r="Z58" s="823">
        <v>-78464</v>
      </c>
      <c r="AA58" s="967">
        <v>-58206</v>
      </c>
      <c r="AB58" s="967">
        <v>-1003</v>
      </c>
      <c r="AC58" s="973"/>
      <c r="AD58" s="974"/>
      <c r="AE58" s="975"/>
      <c r="AF58" s="955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2.75">
      <c r="A59" s="97">
        <v>3</v>
      </c>
      <c r="B59" s="164" t="s">
        <v>218</v>
      </c>
      <c r="C59" s="109">
        <f t="shared" si="5"/>
        <v>0</v>
      </c>
      <c r="D59" s="110"/>
      <c r="E59" s="110"/>
      <c r="F59" s="178"/>
      <c r="G59" s="111"/>
      <c r="H59" s="110"/>
      <c r="I59" s="109"/>
      <c r="J59" s="109">
        <f t="shared" si="15"/>
        <v>80150</v>
      </c>
      <c r="K59" s="682">
        <f>L59+M59</f>
        <v>0</v>
      </c>
      <c r="L59" s="682"/>
      <c r="M59" s="682"/>
      <c r="N59" s="682"/>
      <c r="O59" s="682"/>
      <c r="P59" s="1042"/>
      <c r="Q59" s="476">
        <v>80150</v>
      </c>
      <c r="R59" s="476"/>
      <c r="S59" s="218">
        <f t="shared" si="16"/>
        <v>0</v>
      </c>
      <c r="T59" s="218"/>
      <c r="U59" s="218">
        <f t="shared" si="17"/>
        <v>80150</v>
      </c>
      <c r="V59" s="976"/>
      <c r="W59" s="976">
        <v>80150</v>
      </c>
      <c r="X59" s="976"/>
      <c r="Y59" s="977"/>
      <c r="Z59" s="978"/>
      <c r="AA59" s="976"/>
      <c r="AB59" s="976"/>
      <c r="AC59" s="979"/>
      <c r="AD59" s="979"/>
      <c r="AE59" s="977"/>
      <c r="AF59" s="179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2.75">
      <c r="A60" s="97">
        <v>3</v>
      </c>
      <c r="B60" s="164" t="s">
        <v>219</v>
      </c>
      <c r="C60" s="109">
        <f t="shared" si="5"/>
        <v>0</v>
      </c>
      <c r="D60" s="110"/>
      <c r="E60" s="110"/>
      <c r="F60" s="178"/>
      <c r="G60" s="111"/>
      <c r="H60" s="110"/>
      <c r="I60" s="109"/>
      <c r="J60" s="109">
        <f t="shared" si="15"/>
        <v>0</v>
      </c>
      <c r="K60" s="682"/>
      <c r="L60" s="682"/>
      <c r="M60" s="682"/>
      <c r="N60" s="682"/>
      <c r="O60" s="682"/>
      <c r="P60" s="1042"/>
      <c r="Q60" s="476"/>
      <c r="R60" s="476"/>
      <c r="S60" s="218">
        <f t="shared" si="16"/>
        <v>0</v>
      </c>
      <c r="T60" s="218"/>
      <c r="U60" s="218">
        <f t="shared" si="17"/>
        <v>0</v>
      </c>
      <c r="V60" s="976">
        <v>350</v>
      </c>
      <c r="W60" s="976">
        <v>-350</v>
      </c>
      <c r="X60" s="976"/>
      <c r="Y60" s="977"/>
      <c r="Z60" s="978"/>
      <c r="AA60" s="976"/>
      <c r="AB60" s="976"/>
      <c r="AC60" s="979"/>
      <c r="AD60" s="979"/>
      <c r="AE60" s="977"/>
      <c r="AF60" s="179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2.75">
      <c r="A61" s="97">
        <v>3</v>
      </c>
      <c r="B61" s="164" t="s">
        <v>220</v>
      </c>
      <c r="C61" s="109">
        <f t="shared" si="5"/>
        <v>0</v>
      </c>
      <c r="D61" s="110"/>
      <c r="E61" s="110"/>
      <c r="F61" s="178"/>
      <c r="G61" s="111"/>
      <c r="H61" s="110"/>
      <c r="I61" s="109"/>
      <c r="J61" s="109">
        <f t="shared" si="15"/>
        <v>4800</v>
      </c>
      <c r="K61" s="682"/>
      <c r="L61" s="682"/>
      <c r="M61" s="682"/>
      <c r="N61" s="682"/>
      <c r="O61" s="682"/>
      <c r="P61" s="1042"/>
      <c r="Q61" s="476"/>
      <c r="R61" s="476">
        <v>4800</v>
      </c>
      <c r="S61" s="218">
        <f t="shared" si="16"/>
        <v>110800</v>
      </c>
      <c r="T61" s="218">
        <v>106000</v>
      </c>
      <c r="U61" s="218">
        <f t="shared" si="17"/>
        <v>110800</v>
      </c>
      <c r="V61" s="476">
        <v>110800</v>
      </c>
      <c r="W61" s="218"/>
      <c r="X61" s="218"/>
      <c r="Y61" s="385"/>
      <c r="Z61" s="404"/>
      <c r="AA61" s="218"/>
      <c r="AB61" s="218"/>
      <c r="AC61" s="286"/>
      <c r="AD61" s="286"/>
      <c r="AE61" s="385"/>
      <c r="AF61" s="179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2.75">
      <c r="A62" s="954">
        <v>1</v>
      </c>
      <c r="B62" s="923" t="s">
        <v>224</v>
      </c>
      <c r="C62" s="109">
        <f t="shared" si="5"/>
        <v>0</v>
      </c>
      <c r="D62" s="110"/>
      <c r="E62" s="110"/>
      <c r="F62" s="178"/>
      <c r="G62" s="111"/>
      <c r="H62" s="110"/>
      <c r="I62" s="109"/>
      <c r="J62" s="1025">
        <f t="shared" si="15"/>
        <v>-45</v>
      </c>
      <c r="K62" s="682"/>
      <c r="L62" s="682"/>
      <c r="M62" s="682"/>
      <c r="N62" s="682"/>
      <c r="O62" s="682"/>
      <c r="P62" s="1042"/>
      <c r="Q62" s="476"/>
      <c r="R62" s="767">
        <v>-45</v>
      </c>
      <c r="S62" s="951">
        <f t="shared" si="16"/>
        <v>0</v>
      </c>
      <c r="T62" s="951">
        <v>45</v>
      </c>
      <c r="U62" s="218">
        <f t="shared" si="17"/>
        <v>0</v>
      </c>
      <c r="V62" s="476"/>
      <c r="W62" s="218"/>
      <c r="X62" s="218"/>
      <c r="Y62" s="385"/>
      <c r="Z62" s="404"/>
      <c r="AA62" s="218"/>
      <c r="AB62" s="218"/>
      <c r="AC62" s="286"/>
      <c r="AD62" s="286"/>
      <c r="AE62" s="385"/>
      <c r="AF62" s="179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2.75">
      <c r="A63" s="97">
        <v>3</v>
      </c>
      <c r="B63" s="164" t="s">
        <v>221</v>
      </c>
      <c r="C63" s="109">
        <f t="shared" si="5"/>
        <v>0</v>
      </c>
      <c r="D63" s="110"/>
      <c r="E63" s="110"/>
      <c r="F63" s="178"/>
      <c r="G63" s="111"/>
      <c r="H63" s="110"/>
      <c r="I63" s="109"/>
      <c r="J63" s="109">
        <f>K63+N63+O63+P63+Q63+R63-1992</f>
        <v>-25885</v>
      </c>
      <c r="K63" s="1011">
        <f>L63+M63</f>
        <v>1992</v>
      </c>
      <c r="L63" s="1011"/>
      <c r="M63" s="1011">
        <v>1992</v>
      </c>
      <c r="N63" s="1011"/>
      <c r="O63" s="1011"/>
      <c r="P63" s="1043"/>
      <c r="Q63" s="970">
        <v>-27877</v>
      </c>
      <c r="R63" s="970">
        <v>1992</v>
      </c>
      <c r="S63" s="218">
        <f t="shared" si="16"/>
        <v>27877</v>
      </c>
      <c r="T63" s="218">
        <v>25885</v>
      </c>
      <c r="U63" s="218">
        <f t="shared" si="17"/>
        <v>0</v>
      </c>
      <c r="V63" s="976">
        <v>-27877</v>
      </c>
      <c r="W63" s="976"/>
      <c r="X63" s="976">
        <v>27877</v>
      </c>
      <c r="Y63" s="977"/>
      <c r="Z63" s="978"/>
      <c r="AA63" s="976"/>
      <c r="AB63" s="976"/>
      <c r="AC63" s="979"/>
      <c r="AD63" s="979"/>
      <c r="AE63" s="977"/>
      <c r="AF63" s="179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3.5" thickBot="1">
      <c r="A64" s="954">
        <v>1</v>
      </c>
      <c r="B64" s="923" t="s">
        <v>223</v>
      </c>
      <c r="C64" s="109">
        <f t="shared" si="5"/>
        <v>0</v>
      </c>
      <c r="D64" s="110"/>
      <c r="E64" s="110"/>
      <c r="F64" s="178"/>
      <c r="G64" s="111"/>
      <c r="H64" s="110"/>
      <c r="I64" s="109"/>
      <c r="J64" s="109">
        <f>K64+N64+O64+P64+Q64+R64</f>
        <v>-3840</v>
      </c>
      <c r="K64" s="1011"/>
      <c r="L64" s="1011"/>
      <c r="M64" s="1011"/>
      <c r="N64" s="1011"/>
      <c r="O64" s="1011"/>
      <c r="P64" s="1043"/>
      <c r="Q64" s="970"/>
      <c r="R64" s="767">
        <v>-3840</v>
      </c>
      <c r="S64" s="951">
        <f t="shared" si="16"/>
        <v>0</v>
      </c>
      <c r="T64" s="951">
        <v>3840</v>
      </c>
      <c r="U64" s="218">
        <f t="shared" si="17"/>
        <v>0</v>
      </c>
      <c r="V64" s="976"/>
      <c r="W64" s="976"/>
      <c r="X64" s="976"/>
      <c r="Y64" s="977"/>
      <c r="Z64" s="978"/>
      <c r="AA64" s="976"/>
      <c r="AB64" s="976"/>
      <c r="AC64" s="979"/>
      <c r="AD64" s="979"/>
      <c r="AE64" s="977"/>
      <c r="AF64" s="179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3.5" hidden="1" thickBot="1">
      <c r="A65" s="954"/>
      <c r="B65" s="923"/>
      <c r="C65" s="109">
        <f t="shared" si="5"/>
        <v>0</v>
      </c>
      <c r="D65" s="110"/>
      <c r="E65" s="110"/>
      <c r="F65" s="178"/>
      <c r="G65" s="111"/>
      <c r="H65" s="110"/>
      <c r="I65" s="109"/>
      <c r="J65" s="109">
        <f>K65+N65+O65+P65+Q65+R65</f>
        <v>0</v>
      </c>
      <c r="K65" s="110"/>
      <c r="L65" s="110"/>
      <c r="M65" s="110"/>
      <c r="N65" s="110"/>
      <c r="O65" s="110"/>
      <c r="P65" s="178"/>
      <c r="Q65" s="218"/>
      <c r="R65" s="218"/>
      <c r="S65" s="218"/>
      <c r="T65" s="218"/>
      <c r="U65" s="218"/>
      <c r="V65" s="976"/>
      <c r="W65" s="976"/>
      <c r="X65" s="976"/>
      <c r="Y65" s="977"/>
      <c r="Z65" s="978"/>
      <c r="AA65" s="976"/>
      <c r="AB65" s="976"/>
      <c r="AC65" s="979"/>
      <c r="AD65" s="979"/>
      <c r="AE65" s="977"/>
      <c r="AF65" s="179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3.5" hidden="1" thickBot="1">
      <c r="A66" s="97"/>
      <c r="B66" s="164"/>
      <c r="C66" s="109"/>
      <c r="D66" s="110"/>
      <c r="E66" s="110"/>
      <c r="F66" s="178"/>
      <c r="G66" s="111"/>
      <c r="H66" s="110"/>
      <c r="I66" s="109"/>
      <c r="J66" s="109">
        <f>K66+N66+O66+P66+Q66+R66</f>
        <v>0</v>
      </c>
      <c r="K66" s="110"/>
      <c r="L66" s="110"/>
      <c r="M66" s="110"/>
      <c r="N66" s="110"/>
      <c r="O66" s="110"/>
      <c r="P66" s="178"/>
      <c r="Q66" s="218"/>
      <c r="R66" s="218"/>
      <c r="S66" s="218">
        <f t="shared" si="16"/>
        <v>0</v>
      </c>
      <c r="T66" s="218"/>
      <c r="U66" s="218"/>
      <c r="V66" s="218"/>
      <c r="W66" s="218"/>
      <c r="X66" s="218"/>
      <c r="Y66" s="385"/>
      <c r="Z66" s="404"/>
      <c r="AA66" s="218"/>
      <c r="AB66" s="218"/>
      <c r="AC66" s="286"/>
      <c r="AD66" s="286"/>
      <c r="AE66" s="385"/>
      <c r="AF66" s="179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3" ht="13.5" thickBot="1">
      <c r="A67" s="116"/>
      <c r="B67" s="34" t="s">
        <v>38</v>
      </c>
      <c r="C67" s="85">
        <f t="shared" si="5"/>
        <v>0</v>
      </c>
      <c r="D67" s="85">
        <f aca="true" t="shared" si="18" ref="D67:I67">SUM(D50:D65)</f>
        <v>0</v>
      </c>
      <c r="E67" s="85">
        <f t="shared" si="18"/>
        <v>0</v>
      </c>
      <c r="F67" s="137">
        <f t="shared" si="18"/>
        <v>0</v>
      </c>
      <c r="G67" s="88">
        <f t="shared" si="18"/>
        <v>0</v>
      </c>
      <c r="H67" s="85">
        <f t="shared" si="18"/>
        <v>0</v>
      </c>
      <c r="I67" s="85">
        <f t="shared" si="18"/>
        <v>0</v>
      </c>
      <c r="J67" s="85">
        <f>SUM(J50:J65)+326421</f>
        <v>63963</v>
      </c>
      <c r="K67" s="85">
        <f>SUM(K50:K65)+139006</f>
        <v>1992</v>
      </c>
      <c r="L67" s="85">
        <f>SUM(L50:L65)+137673</f>
        <v>0</v>
      </c>
      <c r="M67" s="85">
        <f>SUM(M50:M65)+1333</f>
        <v>1992</v>
      </c>
      <c r="N67" s="85">
        <f>SUM(N50:N65)+47374</f>
        <v>0</v>
      </c>
      <c r="O67" s="85">
        <f>SUM(O50:O65)+2736</f>
        <v>0</v>
      </c>
      <c r="P67" s="137">
        <f>SUM(P50:P65)</f>
        <v>0</v>
      </c>
      <c r="Q67" s="87">
        <f>SUM(Q50:Q65)+116257</f>
        <v>64781</v>
      </c>
      <c r="R67" s="87">
        <f>SUM(R50:R65)+21048</f>
        <v>-818</v>
      </c>
      <c r="S67" s="87">
        <f>SUM(S50:S65)+93372</f>
        <v>146893</v>
      </c>
      <c r="T67" s="87">
        <f>SUM(T50:T65)+72324</f>
        <v>147711</v>
      </c>
      <c r="U67" s="87">
        <f>SUM(U50:U65)+398745</f>
        <v>211674</v>
      </c>
      <c r="V67" s="87">
        <f>SUM(V50:V65)+196199</f>
        <v>83273</v>
      </c>
      <c r="W67" s="87">
        <f>SUM(W50:W65)+63520</f>
        <v>95448</v>
      </c>
      <c r="X67" s="87">
        <f>SUM(X50:X65)+98690</f>
        <v>27877</v>
      </c>
      <c r="Y67" s="175">
        <f>SUM(Y50:Y65)+40336</f>
        <v>5076</v>
      </c>
      <c r="Z67" s="94">
        <f>SUM(Z50:Z65)+78464</f>
        <v>0</v>
      </c>
      <c r="AA67" s="87">
        <f>SUM(AA50:AA65)+58206</f>
        <v>0</v>
      </c>
      <c r="AB67" s="87">
        <f>SUM(AB50:AB65)+1003</f>
        <v>0</v>
      </c>
      <c r="AC67" s="87">
        <f>SUM(AC50:AC65)</f>
        <v>0</v>
      </c>
      <c r="AD67" s="87">
        <f>SUM(AD50:AD65)</f>
        <v>0</v>
      </c>
      <c r="AE67" s="175">
        <f>SUM(AE50:AE65)</f>
        <v>0</v>
      </c>
      <c r="AF67" s="117">
        <f>SUM(AF50:AF65)</f>
        <v>0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2.75">
      <c r="A68" s="104">
        <v>3</v>
      </c>
      <c r="B68" s="158" t="s">
        <v>229</v>
      </c>
      <c r="C68" s="105">
        <f t="shared" si="5"/>
        <v>0</v>
      </c>
      <c r="D68" s="106"/>
      <c r="E68" s="106"/>
      <c r="F68" s="176"/>
      <c r="G68" s="107"/>
      <c r="H68" s="106"/>
      <c r="I68" s="105"/>
      <c r="J68" s="109">
        <f aca="true" t="shared" si="19" ref="J68:J96">K68+N68+O68+P68+Q68+R68</f>
        <v>100</v>
      </c>
      <c r="K68" s="1039">
        <f aca="true" t="shared" si="20" ref="K68:K81">L68+M68</f>
        <v>354</v>
      </c>
      <c r="L68" s="1039">
        <v>275</v>
      </c>
      <c r="M68" s="1039">
        <v>79</v>
      </c>
      <c r="N68" s="1039">
        <v>93</v>
      </c>
      <c r="O68" s="1039">
        <v>6</v>
      </c>
      <c r="P68" s="1040"/>
      <c r="Q68" s="980">
        <v>-453</v>
      </c>
      <c r="R68" s="980">
        <v>100</v>
      </c>
      <c r="S68" s="217">
        <f aca="true" t="shared" si="21" ref="S68:S79">R68+T68</f>
        <v>0</v>
      </c>
      <c r="T68" s="217">
        <v>-100</v>
      </c>
      <c r="U68" s="218">
        <f aca="true" t="shared" si="22" ref="U68:U96">J68+T68</f>
        <v>0</v>
      </c>
      <c r="V68" s="980">
        <v>-700</v>
      </c>
      <c r="W68" s="980">
        <v>700</v>
      </c>
      <c r="X68" s="217"/>
      <c r="Y68" s="384"/>
      <c r="Z68" s="1097">
        <v>275</v>
      </c>
      <c r="AA68" s="217"/>
      <c r="AB68" s="217"/>
      <c r="AC68" s="285"/>
      <c r="AD68" s="285"/>
      <c r="AE68" s="970">
        <v>-4770</v>
      </c>
      <c r="AF68" s="177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2.75">
      <c r="A69" s="97">
        <v>3</v>
      </c>
      <c r="B69" s="56" t="s">
        <v>230</v>
      </c>
      <c r="C69" s="109">
        <f t="shared" si="5"/>
        <v>0</v>
      </c>
      <c r="D69" s="119"/>
      <c r="E69" s="119"/>
      <c r="F69" s="213"/>
      <c r="G69" s="120"/>
      <c r="H69" s="119"/>
      <c r="I69" s="118"/>
      <c r="J69" s="109">
        <f t="shared" si="19"/>
        <v>0</v>
      </c>
      <c r="K69" s="684">
        <f t="shared" si="20"/>
        <v>-3043</v>
      </c>
      <c r="L69" s="684">
        <v>-3143</v>
      </c>
      <c r="M69" s="684">
        <v>100</v>
      </c>
      <c r="N69" s="684">
        <v>-5169</v>
      </c>
      <c r="O69" s="684">
        <v>-63</v>
      </c>
      <c r="P69" s="1044"/>
      <c r="Q69" s="447">
        <v>8275</v>
      </c>
      <c r="R69" s="447"/>
      <c r="S69" s="338">
        <f t="shared" si="21"/>
        <v>0</v>
      </c>
      <c r="T69" s="338"/>
      <c r="U69" s="338">
        <f t="shared" si="22"/>
        <v>0</v>
      </c>
      <c r="V69" s="338"/>
      <c r="W69" s="338"/>
      <c r="X69" s="338"/>
      <c r="Y69" s="386"/>
      <c r="Z69" s="66">
        <v>-3143</v>
      </c>
      <c r="AA69" s="338"/>
      <c r="AB69" s="338"/>
      <c r="AC69" s="339"/>
      <c r="AD69" s="339"/>
      <c r="AE69" s="386"/>
      <c r="AF69" s="340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2.75">
      <c r="A70" s="97">
        <v>3</v>
      </c>
      <c r="B70" s="164" t="s">
        <v>231</v>
      </c>
      <c r="C70" s="109">
        <f t="shared" si="5"/>
        <v>0</v>
      </c>
      <c r="D70" s="119"/>
      <c r="E70" s="119"/>
      <c r="F70" s="213"/>
      <c r="G70" s="120"/>
      <c r="H70" s="119"/>
      <c r="I70" s="118"/>
      <c r="J70" s="109">
        <f t="shared" si="19"/>
        <v>21775</v>
      </c>
      <c r="K70" s="684">
        <f t="shared" si="20"/>
        <v>0</v>
      </c>
      <c r="L70" s="684"/>
      <c r="M70" s="684"/>
      <c r="N70" s="684"/>
      <c r="O70" s="684"/>
      <c r="P70" s="1044"/>
      <c r="Q70" s="447">
        <v>21775</v>
      </c>
      <c r="R70" s="476"/>
      <c r="S70" s="218">
        <f t="shared" si="21"/>
        <v>0</v>
      </c>
      <c r="T70" s="338"/>
      <c r="U70" s="218">
        <f t="shared" si="22"/>
        <v>21775</v>
      </c>
      <c r="V70" s="447">
        <v>3458</v>
      </c>
      <c r="W70" s="447">
        <v>18317</v>
      </c>
      <c r="X70" s="338"/>
      <c r="Y70" s="386"/>
      <c r="Z70" s="66"/>
      <c r="AA70" s="338"/>
      <c r="AB70" s="338"/>
      <c r="AC70" s="339"/>
      <c r="AD70" s="339"/>
      <c r="AE70" s="386"/>
      <c r="AF70" s="340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2.75">
      <c r="A71" s="954">
        <v>1</v>
      </c>
      <c r="B71" s="923" t="s">
        <v>259</v>
      </c>
      <c r="C71" s="1025">
        <f t="shared" si="5"/>
        <v>0</v>
      </c>
      <c r="D71" s="1016"/>
      <c r="E71" s="1016"/>
      <c r="F71" s="1017"/>
      <c r="G71" s="1018"/>
      <c r="H71" s="1016"/>
      <c r="I71" s="1015"/>
      <c r="J71" s="1025">
        <f t="shared" si="19"/>
        <v>-611</v>
      </c>
      <c r="K71" s="710">
        <f t="shared" si="20"/>
        <v>0</v>
      </c>
      <c r="L71" s="710"/>
      <c r="M71" s="710"/>
      <c r="N71" s="710"/>
      <c r="O71" s="710"/>
      <c r="P71" s="711"/>
      <c r="Q71" s="685"/>
      <c r="R71" s="685">
        <v>-611</v>
      </c>
      <c r="S71" s="1019">
        <f t="shared" si="21"/>
        <v>0</v>
      </c>
      <c r="T71" s="1019">
        <v>611</v>
      </c>
      <c r="U71" s="951">
        <f t="shared" si="22"/>
        <v>0</v>
      </c>
      <c r="V71" s="685"/>
      <c r="W71" s="685"/>
      <c r="X71" s="1019"/>
      <c r="Y71" s="1021"/>
      <c r="Z71" s="688"/>
      <c r="AA71" s="1019"/>
      <c r="AB71" s="1019"/>
      <c r="AC71" s="1062"/>
      <c r="AD71" s="1062"/>
      <c r="AE71" s="1021"/>
      <c r="AF71" s="1057"/>
      <c r="AG71" s="721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2.75">
      <c r="A72" s="97">
        <v>3</v>
      </c>
      <c r="B72" s="164" t="s">
        <v>237</v>
      </c>
      <c r="C72" s="109">
        <f t="shared" si="5"/>
        <v>0</v>
      </c>
      <c r="D72" s="119"/>
      <c r="E72" s="119"/>
      <c r="F72" s="213"/>
      <c r="G72" s="120"/>
      <c r="H72" s="119"/>
      <c r="I72" s="118"/>
      <c r="J72" s="109">
        <f t="shared" si="19"/>
        <v>54522</v>
      </c>
      <c r="K72" s="119">
        <f t="shared" si="20"/>
        <v>60521</v>
      </c>
      <c r="L72" s="119">
        <v>60521</v>
      </c>
      <c r="M72" s="684">
        <v>0</v>
      </c>
      <c r="N72" s="684">
        <v>20577</v>
      </c>
      <c r="O72" s="684">
        <v>1210</v>
      </c>
      <c r="P72" s="1044"/>
      <c r="Q72" s="447">
        <v>-27786</v>
      </c>
      <c r="R72" s="338"/>
      <c r="S72" s="338">
        <f t="shared" si="21"/>
        <v>-17250</v>
      </c>
      <c r="T72" s="338">
        <v>-17250</v>
      </c>
      <c r="U72" s="218">
        <f t="shared" si="22"/>
        <v>37272</v>
      </c>
      <c r="V72" s="447">
        <v>37272</v>
      </c>
      <c r="W72" s="338"/>
      <c r="X72" s="338"/>
      <c r="Y72" s="386"/>
      <c r="Z72" s="66">
        <v>60521</v>
      </c>
      <c r="AA72" s="338"/>
      <c r="AB72" s="338"/>
      <c r="AC72" s="339"/>
      <c r="AD72" s="339"/>
      <c r="AE72" s="386"/>
      <c r="AF72" s="340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2.75">
      <c r="A73" s="97">
        <v>3</v>
      </c>
      <c r="B73" s="164" t="s">
        <v>238</v>
      </c>
      <c r="C73" s="109">
        <f t="shared" si="5"/>
        <v>0</v>
      </c>
      <c r="D73" s="119"/>
      <c r="E73" s="119"/>
      <c r="F73" s="213"/>
      <c r="G73" s="120"/>
      <c r="H73" s="119"/>
      <c r="I73" s="118"/>
      <c r="J73" s="109">
        <f t="shared" si="19"/>
        <v>0</v>
      </c>
      <c r="K73" s="119">
        <f t="shared" si="20"/>
        <v>0</v>
      </c>
      <c r="L73" s="119"/>
      <c r="M73" s="119"/>
      <c r="N73" s="119"/>
      <c r="O73" s="119"/>
      <c r="P73" s="213"/>
      <c r="Q73" s="338"/>
      <c r="R73" s="338"/>
      <c r="S73" s="338">
        <f t="shared" si="21"/>
        <v>0</v>
      </c>
      <c r="T73" s="338"/>
      <c r="U73" s="218">
        <f t="shared" si="22"/>
        <v>0</v>
      </c>
      <c r="V73" s="447">
        <v>15000</v>
      </c>
      <c r="W73" s="447">
        <v>-15000</v>
      </c>
      <c r="X73" s="338"/>
      <c r="Y73" s="386"/>
      <c r="Z73" s="66"/>
      <c r="AA73" s="338"/>
      <c r="AB73" s="338"/>
      <c r="AC73" s="339"/>
      <c r="AD73" s="339"/>
      <c r="AE73" s="386"/>
      <c r="AF73" s="340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2.75">
      <c r="A74" s="97">
        <v>3</v>
      </c>
      <c r="B74" s="164" t="s">
        <v>239</v>
      </c>
      <c r="C74" s="109">
        <f t="shared" si="5"/>
        <v>0</v>
      </c>
      <c r="D74" s="119"/>
      <c r="E74" s="119"/>
      <c r="F74" s="213"/>
      <c r="G74" s="120"/>
      <c r="H74" s="119"/>
      <c r="I74" s="118"/>
      <c r="J74" s="109">
        <f t="shared" si="19"/>
        <v>-5600</v>
      </c>
      <c r="K74" s="119">
        <f t="shared" si="20"/>
        <v>0</v>
      </c>
      <c r="L74" s="119"/>
      <c r="M74" s="119"/>
      <c r="N74" s="119"/>
      <c r="O74" s="119"/>
      <c r="P74" s="213"/>
      <c r="Q74" s="447">
        <v>-6020</v>
      </c>
      <c r="R74" s="447">
        <v>420</v>
      </c>
      <c r="S74" s="338">
        <f t="shared" si="21"/>
        <v>6020</v>
      </c>
      <c r="T74" s="338">
        <v>5600</v>
      </c>
      <c r="U74" s="218">
        <f t="shared" si="22"/>
        <v>0</v>
      </c>
      <c r="V74" s="338"/>
      <c r="W74" s="338"/>
      <c r="X74" s="338"/>
      <c r="Y74" s="386"/>
      <c r="Z74" s="66"/>
      <c r="AA74" s="338"/>
      <c r="AB74" s="338"/>
      <c r="AC74" s="339"/>
      <c r="AD74" s="339"/>
      <c r="AE74" s="386"/>
      <c r="AF74" s="340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2.75">
      <c r="A75" s="1055">
        <v>1</v>
      </c>
      <c r="B75" s="938" t="s">
        <v>240</v>
      </c>
      <c r="C75" s="109">
        <f t="shared" si="5"/>
        <v>0</v>
      </c>
      <c r="D75" s="119"/>
      <c r="E75" s="119"/>
      <c r="F75" s="213"/>
      <c r="G75" s="120"/>
      <c r="H75" s="119"/>
      <c r="I75" s="118"/>
      <c r="J75" s="1025">
        <f t="shared" si="19"/>
        <v>9607</v>
      </c>
      <c r="K75" s="119">
        <f t="shared" si="20"/>
        <v>0</v>
      </c>
      <c r="L75" s="119"/>
      <c r="M75" s="119"/>
      <c r="N75" s="119"/>
      <c r="O75" s="119"/>
      <c r="P75" s="213"/>
      <c r="Q75" s="338"/>
      <c r="R75" s="685">
        <v>9607</v>
      </c>
      <c r="S75" s="1019">
        <f t="shared" si="21"/>
        <v>0</v>
      </c>
      <c r="T75" s="1019">
        <v>-9607</v>
      </c>
      <c r="U75" s="951">
        <f t="shared" si="22"/>
        <v>0</v>
      </c>
      <c r="V75" s="338"/>
      <c r="W75" s="338"/>
      <c r="X75" s="338"/>
      <c r="Y75" s="386"/>
      <c r="Z75" s="66"/>
      <c r="AA75" s="338"/>
      <c r="AB75" s="338"/>
      <c r="AC75" s="339"/>
      <c r="AD75" s="339"/>
      <c r="AE75" s="386"/>
      <c r="AF75" s="340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2.75">
      <c r="A76" s="97">
        <v>3</v>
      </c>
      <c r="B76" s="164" t="s">
        <v>241</v>
      </c>
      <c r="C76" s="109">
        <f t="shared" si="5"/>
        <v>0</v>
      </c>
      <c r="D76" s="119"/>
      <c r="E76" s="119"/>
      <c r="F76" s="213"/>
      <c r="G76" s="120"/>
      <c r="H76" s="119"/>
      <c r="I76" s="118"/>
      <c r="J76" s="109">
        <f t="shared" si="19"/>
        <v>0</v>
      </c>
      <c r="K76" s="119">
        <f t="shared" si="20"/>
        <v>0</v>
      </c>
      <c r="L76" s="119"/>
      <c r="M76" s="119"/>
      <c r="N76" s="119"/>
      <c r="O76" s="119"/>
      <c r="P76" s="213"/>
      <c r="Q76" s="338"/>
      <c r="R76" s="1078"/>
      <c r="S76" s="338">
        <f t="shared" si="21"/>
        <v>0</v>
      </c>
      <c r="T76" s="338"/>
      <c r="U76" s="218">
        <f t="shared" si="22"/>
        <v>0</v>
      </c>
      <c r="V76" s="338"/>
      <c r="W76" s="447">
        <v>-5000</v>
      </c>
      <c r="X76" s="447">
        <v>5000</v>
      </c>
      <c r="Y76" s="387"/>
      <c r="Z76" s="66"/>
      <c r="AA76" s="338"/>
      <c r="AB76" s="338"/>
      <c r="AC76" s="341"/>
      <c r="AD76" s="341"/>
      <c r="AE76" s="387"/>
      <c r="AF76" s="340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2.75">
      <c r="A77" s="97">
        <v>3</v>
      </c>
      <c r="B77" s="164" t="s">
        <v>242</v>
      </c>
      <c r="C77" s="109">
        <f t="shared" si="5"/>
        <v>0</v>
      </c>
      <c r="D77" s="119"/>
      <c r="E77" s="119"/>
      <c r="F77" s="213"/>
      <c r="G77" s="120"/>
      <c r="H77" s="119"/>
      <c r="I77" s="118"/>
      <c r="J77" s="109">
        <f t="shared" si="19"/>
        <v>7303</v>
      </c>
      <c r="K77" s="119">
        <f t="shared" si="20"/>
        <v>0</v>
      </c>
      <c r="L77" s="119"/>
      <c r="M77" s="119"/>
      <c r="N77" s="119"/>
      <c r="O77" s="119"/>
      <c r="P77" s="213"/>
      <c r="Q77" s="447">
        <v>7303</v>
      </c>
      <c r="R77" s="1078"/>
      <c r="S77" s="338">
        <f t="shared" si="21"/>
        <v>-7303</v>
      </c>
      <c r="T77" s="338">
        <v>-7303</v>
      </c>
      <c r="U77" s="218">
        <f t="shared" si="22"/>
        <v>0</v>
      </c>
      <c r="V77" s="338"/>
      <c r="W77" s="338"/>
      <c r="X77" s="338"/>
      <c r="Y77" s="471"/>
      <c r="Z77" s="100"/>
      <c r="AA77" s="338"/>
      <c r="AB77" s="338"/>
      <c r="AC77" s="339"/>
      <c r="AD77" s="339"/>
      <c r="AE77" s="386"/>
      <c r="AF77" s="340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2.75">
      <c r="A78" s="97">
        <v>3</v>
      </c>
      <c r="B78" s="164" t="s">
        <v>243</v>
      </c>
      <c r="C78" s="109">
        <f t="shared" si="5"/>
        <v>0</v>
      </c>
      <c r="D78" s="110"/>
      <c r="E78" s="110"/>
      <c r="F78" s="178"/>
      <c r="G78" s="111"/>
      <c r="H78" s="110"/>
      <c r="I78" s="109"/>
      <c r="J78" s="109">
        <f t="shared" si="19"/>
        <v>-53</v>
      </c>
      <c r="K78" s="119">
        <f t="shared" si="20"/>
        <v>0</v>
      </c>
      <c r="L78" s="119"/>
      <c r="M78" s="119"/>
      <c r="N78" s="110"/>
      <c r="O78" s="110"/>
      <c r="P78" s="178"/>
      <c r="Q78" s="476">
        <v>-53</v>
      </c>
      <c r="R78" s="970"/>
      <c r="S78" s="218">
        <f t="shared" si="21"/>
        <v>53</v>
      </c>
      <c r="T78" s="218">
        <v>53</v>
      </c>
      <c r="U78" s="218">
        <f t="shared" si="22"/>
        <v>0</v>
      </c>
      <c r="V78" s="218"/>
      <c r="W78" s="218"/>
      <c r="X78" s="218"/>
      <c r="Y78" s="471"/>
      <c r="Z78" s="66"/>
      <c r="AA78" s="218"/>
      <c r="AB78" s="218"/>
      <c r="AC78" s="286"/>
      <c r="AD78" s="286"/>
      <c r="AE78" s="385"/>
      <c r="AF78" s="179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2.75">
      <c r="A79" s="97">
        <v>3</v>
      </c>
      <c r="B79" s="164" t="s">
        <v>244</v>
      </c>
      <c r="C79" s="109">
        <f t="shared" si="5"/>
        <v>0</v>
      </c>
      <c r="D79" s="110"/>
      <c r="E79" s="110"/>
      <c r="F79" s="178"/>
      <c r="G79" s="111"/>
      <c r="H79" s="110"/>
      <c r="I79" s="109"/>
      <c r="J79" s="109">
        <f t="shared" si="19"/>
        <v>0</v>
      </c>
      <c r="K79" s="119">
        <f t="shared" si="20"/>
        <v>3700</v>
      </c>
      <c r="L79" s="684">
        <v>-5000</v>
      </c>
      <c r="M79" s="684">
        <v>8700</v>
      </c>
      <c r="N79" s="682">
        <v>-4000</v>
      </c>
      <c r="O79" s="682"/>
      <c r="P79" s="1042"/>
      <c r="Q79" s="476">
        <v>300</v>
      </c>
      <c r="R79" s="970"/>
      <c r="S79" s="218">
        <f t="shared" si="21"/>
        <v>0</v>
      </c>
      <c r="T79" s="218"/>
      <c r="U79" s="218">
        <f t="shared" si="22"/>
        <v>0</v>
      </c>
      <c r="V79" s="218"/>
      <c r="W79" s="218"/>
      <c r="X79" s="218"/>
      <c r="Y79" s="471"/>
      <c r="Z79" s="446">
        <v>-5000</v>
      </c>
      <c r="AA79" s="218"/>
      <c r="AB79" s="218"/>
      <c r="AC79" s="286"/>
      <c r="AD79" s="286"/>
      <c r="AE79" s="385"/>
      <c r="AF79" s="179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2.75">
      <c r="A80" s="1055">
        <v>1</v>
      </c>
      <c r="B80" s="938" t="s">
        <v>245</v>
      </c>
      <c r="C80" s="183">
        <f t="shared" si="5"/>
        <v>0</v>
      </c>
      <c r="D80" s="184"/>
      <c r="E80" s="184"/>
      <c r="F80" s="180"/>
      <c r="G80" s="186"/>
      <c r="H80" s="184"/>
      <c r="I80" s="183"/>
      <c r="J80" s="1079">
        <f t="shared" si="19"/>
        <v>1802</v>
      </c>
      <c r="K80" s="119">
        <f t="shared" si="20"/>
        <v>0</v>
      </c>
      <c r="L80" s="119"/>
      <c r="M80" s="119"/>
      <c r="N80" s="184"/>
      <c r="O80" s="184"/>
      <c r="P80" s="180"/>
      <c r="Q80" s="1076"/>
      <c r="R80" s="767">
        <v>1802</v>
      </c>
      <c r="S80" s="951">
        <f>T80+R80</f>
        <v>0</v>
      </c>
      <c r="T80" s="1076">
        <v>-1802</v>
      </c>
      <c r="U80" s="342">
        <f t="shared" si="22"/>
        <v>0</v>
      </c>
      <c r="V80" s="342"/>
      <c r="W80" s="342"/>
      <c r="X80" s="342"/>
      <c r="Y80" s="474"/>
      <c r="Z80" s="66"/>
      <c r="AA80" s="342"/>
      <c r="AB80" s="342"/>
      <c r="AC80" s="343"/>
      <c r="AD80" s="343"/>
      <c r="AE80" s="388"/>
      <c r="AF80" s="181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2.75">
      <c r="A81" s="97">
        <v>3</v>
      </c>
      <c r="B81" s="164" t="s">
        <v>246</v>
      </c>
      <c r="C81" s="109">
        <f t="shared" si="5"/>
        <v>0</v>
      </c>
      <c r="D81" s="110"/>
      <c r="E81" s="110"/>
      <c r="F81" s="178"/>
      <c r="G81" s="111"/>
      <c r="H81" s="110"/>
      <c r="I81" s="109"/>
      <c r="J81" s="109">
        <f t="shared" si="19"/>
        <v>-2600</v>
      </c>
      <c r="K81" s="110">
        <f t="shared" si="20"/>
        <v>0</v>
      </c>
      <c r="L81" s="110"/>
      <c r="M81" s="110"/>
      <c r="N81" s="110"/>
      <c r="O81" s="110"/>
      <c r="P81" s="110"/>
      <c r="Q81" s="1072">
        <v>530</v>
      </c>
      <c r="R81" s="1072">
        <v>-3130</v>
      </c>
      <c r="S81" s="342">
        <f>T81+R81</f>
        <v>-530</v>
      </c>
      <c r="T81" s="342">
        <v>2600</v>
      </c>
      <c r="U81" s="342">
        <f t="shared" si="22"/>
        <v>0</v>
      </c>
      <c r="V81" s="1072">
        <v>2600</v>
      </c>
      <c r="W81" s="1072">
        <v>-2600</v>
      </c>
      <c r="X81" s="342"/>
      <c r="Y81" s="471"/>
      <c r="Z81" s="100"/>
      <c r="AA81" s="218"/>
      <c r="AB81" s="342"/>
      <c r="AC81" s="343"/>
      <c r="AD81" s="343"/>
      <c r="AE81" s="388"/>
      <c r="AF81" s="181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12.75">
      <c r="A82" s="97">
        <v>3</v>
      </c>
      <c r="B82" s="164" t="s">
        <v>247</v>
      </c>
      <c r="C82" s="109">
        <f t="shared" si="5"/>
        <v>0</v>
      </c>
      <c r="D82" s="110"/>
      <c r="E82" s="110"/>
      <c r="F82" s="178"/>
      <c r="G82" s="111"/>
      <c r="H82" s="110"/>
      <c r="I82" s="109"/>
      <c r="J82" s="109">
        <f t="shared" si="19"/>
        <v>0</v>
      </c>
      <c r="K82" s="110">
        <f>2500</f>
        <v>2500</v>
      </c>
      <c r="L82" s="110">
        <v>0</v>
      </c>
      <c r="M82" s="110">
        <v>2500</v>
      </c>
      <c r="N82" s="110"/>
      <c r="O82" s="110"/>
      <c r="P82" s="110"/>
      <c r="Q82" s="1072">
        <v>-2500</v>
      </c>
      <c r="R82" s="1077"/>
      <c r="S82" s="1082">
        <f aca="true" t="shared" si="23" ref="S82:S95">T82+R82</f>
        <v>0</v>
      </c>
      <c r="T82" s="1076"/>
      <c r="U82" s="342">
        <f t="shared" si="22"/>
        <v>0</v>
      </c>
      <c r="V82" s="342"/>
      <c r="W82" s="342"/>
      <c r="X82" s="342"/>
      <c r="Y82" s="471"/>
      <c r="Z82" s="100"/>
      <c r="AA82" s="218"/>
      <c r="AB82" s="342"/>
      <c r="AC82" s="343"/>
      <c r="AD82" s="343"/>
      <c r="AE82" s="388"/>
      <c r="AF82" s="181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2.75">
      <c r="A83" s="97">
        <v>3</v>
      </c>
      <c r="B83" s="164" t="s">
        <v>248</v>
      </c>
      <c r="C83" s="109">
        <f t="shared" si="5"/>
        <v>0</v>
      </c>
      <c r="D83" s="110"/>
      <c r="E83" s="110"/>
      <c r="F83" s="178"/>
      <c r="G83" s="111"/>
      <c r="H83" s="110"/>
      <c r="I83" s="109"/>
      <c r="J83" s="109">
        <f t="shared" si="19"/>
        <v>0</v>
      </c>
      <c r="K83" s="110">
        <f aca="true" t="shared" si="24" ref="K83:K96">L83+M83</f>
        <v>0</v>
      </c>
      <c r="L83" s="110"/>
      <c r="M83" s="110"/>
      <c r="N83" s="110"/>
      <c r="O83" s="110"/>
      <c r="P83" s="110"/>
      <c r="Q83" s="1076"/>
      <c r="R83" s="1077"/>
      <c r="S83" s="1082">
        <f t="shared" si="23"/>
        <v>13790</v>
      </c>
      <c r="T83" s="1082">
        <v>13790</v>
      </c>
      <c r="U83" s="342">
        <f t="shared" si="22"/>
        <v>13790</v>
      </c>
      <c r="V83" s="1072">
        <v>13790</v>
      </c>
      <c r="W83" s="1072"/>
      <c r="X83" s="1072"/>
      <c r="Y83" s="471"/>
      <c r="Z83" s="100"/>
      <c r="AA83" s="218"/>
      <c r="AB83" s="342"/>
      <c r="AC83" s="343"/>
      <c r="AD83" s="343"/>
      <c r="AE83" s="388"/>
      <c r="AF83" s="181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2.75">
      <c r="A84" s="1055">
        <v>1</v>
      </c>
      <c r="B84" s="938" t="s">
        <v>249</v>
      </c>
      <c r="C84" s="109">
        <f t="shared" si="5"/>
        <v>0</v>
      </c>
      <c r="D84" s="110"/>
      <c r="E84" s="110"/>
      <c r="F84" s="178"/>
      <c r="G84" s="111"/>
      <c r="H84" s="110"/>
      <c r="I84" s="109"/>
      <c r="J84" s="1025">
        <f t="shared" si="19"/>
        <v>2496</v>
      </c>
      <c r="K84" s="110">
        <f t="shared" si="24"/>
        <v>0</v>
      </c>
      <c r="L84" s="110"/>
      <c r="M84" s="110"/>
      <c r="N84" s="110"/>
      <c r="O84" s="110"/>
      <c r="P84" s="110"/>
      <c r="Q84" s="1076"/>
      <c r="R84" s="1077">
        <v>2496</v>
      </c>
      <c r="S84" s="1076">
        <f t="shared" si="23"/>
        <v>0</v>
      </c>
      <c r="T84" s="1076">
        <v>-2496</v>
      </c>
      <c r="U84" s="342">
        <f t="shared" si="22"/>
        <v>0</v>
      </c>
      <c r="V84" s="1072"/>
      <c r="W84" s="1072"/>
      <c r="X84" s="1072"/>
      <c r="Y84" s="385"/>
      <c r="Z84" s="100"/>
      <c r="AA84" s="218"/>
      <c r="AB84" s="342"/>
      <c r="AC84" s="343"/>
      <c r="AD84" s="343"/>
      <c r="AE84" s="388"/>
      <c r="AF84" s="181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12.75">
      <c r="A85" s="97">
        <v>3</v>
      </c>
      <c r="B85" s="164" t="s">
        <v>250</v>
      </c>
      <c r="C85" s="109">
        <f t="shared" si="5"/>
        <v>0</v>
      </c>
      <c r="D85" s="110"/>
      <c r="E85" s="110"/>
      <c r="F85" s="178"/>
      <c r="G85" s="111"/>
      <c r="H85" s="110"/>
      <c r="I85" s="109"/>
      <c r="J85" s="109">
        <f t="shared" si="19"/>
        <v>5000</v>
      </c>
      <c r="K85" s="110">
        <f t="shared" si="24"/>
        <v>0</v>
      </c>
      <c r="L85" s="110"/>
      <c r="M85" s="110"/>
      <c r="N85" s="110"/>
      <c r="O85" s="110"/>
      <c r="P85" s="110"/>
      <c r="Q85" s="1072">
        <v>5000</v>
      </c>
      <c r="R85" s="1077"/>
      <c r="S85" s="1082">
        <f t="shared" si="23"/>
        <v>0</v>
      </c>
      <c r="T85" s="1076"/>
      <c r="U85" s="342">
        <f t="shared" si="22"/>
        <v>5000</v>
      </c>
      <c r="V85" s="1072"/>
      <c r="W85" s="1072"/>
      <c r="X85" s="1072">
        <v>5000</v>
      </c>
      <c r="Y85" s="385"/>
      <c r="Z85" s="100"/>
      <c r="AA85" s="218"/>
      <c r="AB85" s="342"/>
      <c r="AC85" s="343"/>
      <c r="AD85" s="343"/>
      <c r="AE85" s="388"/>
      <c r="AF85" s="181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2.75">
      <c r="A86" s="97">
        <v>3</v>
      </c>
      <c r="B86" s="164" t="s">
        <v>251</v>
      </c>
      <c r="C86" s="109">
        <f t="shared" si="5"/>
        <v>0</v>
      </c>
      <c r="D86" s="110"/>
      <c r="E86" s="110"/>
      <c r="F86" s="178"/>
      <c r="G86" s="111"/>
      <c r="H86" s="110"/>
      <c r="I86" s="109"/>
      <c r="J86" s="109">
        <f t="shared" si="19"/>
        <v>0</v>
      </c>
      <c r="K86" s="110">
        <f t="shared" si="24"/>
        <v>0</v>
      </c>
      <c r="L86" s="110"/>
      <c r="M86" s="110"/>
      <c r="N86" s="110"/>
      <c r="O86" s="110"/>
      <c r="P86" s="110"/>
      <c r="Q86" s="1076"/>
      <c r="R86" s="1077"/>
      <c r="S86" s="1082">
        <f t="shared" si="23"/>
        <v>9251</v>
      </c>
      <c r="T86" s="1082">
        <v>9251</v>
      </c>
      <c r="U86" s="342">
        <f t="shared" si="22"/>
        <v>9251</v>
      </c>
      <c r="V86" s="1072"/>
      <c r="W86" s="1072">
        <v>9251</v>
      </c>
      <c r="X86" s="1072"/>
      <c r="Y86" s="385"/>
      <c r="Z86" s="100"/>
      <c r="AA86" s="218"/>
      <c r="AB86" s="342"/>
      <c r="AC86" s="343"/>
      <c r="AD86" s="343"/>
      <c r="AE86" s="388"/>
      <c r="AF86" s="181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2.75">
      <c r="A87" s="1055">
        <v>1</v>
      </c>
      <c r="B87" s="938" t="s">
        <v>253</v>
      </c>
      <c r="C87" s="109">
        <f t="shared" si="5"/>
        <v>0</v>
      </c>
      <c r="D87" s="110"/>
      <c r="E87" s="110"/>
      <c r="F87" s="178"/>
      <c r="G87" s="111"/>
      <c r="H87" s="110"/>
      <c r="I87" s="109"/>
      <c r="J87" s="1025">
        <f t="shared" si="19"/>
        <v>4145</v>
      </c>
      <c r="K87" s="110">
        <f t="shared" si="24"/>
        <v>0</v>
      </c>
      <c r="L87" s="110"/>
      <c r="M87" s="110"/>
      <c r="N87" s="110"/>
      <c r="O87" s="110"/>
      <c r="P87" s="110"/>
      <c r="Q87" s="1076"/>
      <c r="R87" s="1077">
        <v>4145</v>
      </c>
      <c r="S87" s="1076">
        <f t="shared" si="23"/>
        <v>0</v>
      </c>
      <c r="T87" s="1076">
        <v>-4145</v>
      </c>
      <c r="U87" s="1076">
        <f t="shared" si="22"/>
        <v>0</v>
      </c>
      <c r="V87" s="342"/>
      <c r="W87" s="342"/>
      <c r="X87" s="342"/>
      <c r="Y87" s="385"/>
      <c r="Z87" s="100"/>
      <c r="AA87" s="218"/>
      <c r="AB87" s="342"/>
      <c r="AC87" s="343"/>
      <c r="AD87" s="343"/>
      <c r="AE87" s="388"/>
      <c r="AF87" s="181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2.75">
      <c r="A88" s="1055">
        <v>1</v>
      </c>
      <c r="B88" s="938" t="s">
        <v>254</v>
      </c>
      <c r="C88" s="109">
        <f t="shared" si="5"/>
        <v>0</v>
      </c>
      <c r="D88" s="110"/>
      <c r="E88" s="110"/>
      <c r="F88" s="178"/>
      <c r="G88" s="111"/>
      <c r="H88" s="110"/>
      <c r="I88" s="109"/>
      <c r="J88" s="1025">
        <f t="shared" si="19"/>
        <v>15708</v>
      </c>
      <c r="K88" s="950">
        <f t="shared" si="24"/>
        <v>0</v>
      </c>
      <c r="L88" s="950"/>
      <c r="M88" s="950"/>
      <c r="N88" s="950"/>
      <c r="O88" s="950"/>
      <c r="P88" s="950"/>
      <c r="Q88" s="1076"/>
      <c r="R88" s="1077">
        <v>15708</v>
      </c>
      <c r="S88" s="1076">
        <f t="shared" si="23"/>
        <v>0</v>
      </c>
      <c r="T88" s="1076">
        <v>-15708</v>
      </c>
      <c r="U88" s="1076">
        <f t="shared" si="22"/>
        <v>0</v>
      </c>
      <c r="V88" s="342"/>
      <c r="W88" s="342"/>
      <c r="X88" s="342"/>
      <c r="Y88" s="385"/>
      <c r="Z88" s="100"/>
      <c r="AA88" s="218"/>
      <c r="AB88" s="342"/>
      <c r="AC88" s="343"/>
      <c r="AD88" s="343"/>
      <c r="AE88" s="388"/>
      <c r="AF88" s="181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2.75">
      <c r="A89" s="97">
        <v>3</v>
      </c>
      <c r="B89" s="164" t="s">
        <v>255</v>
      </c>
      <c r="C89" s="109">
        <f t="shared" si="5"/>
        <v>0</v>
      </c>
      <c r="D89" s="110"/>
      <c r="E89" s="110"/>
      <c r="F89" s="178"/>
      <c r="G89" s="111"/>
      <c r="H89" s="110"/>
      <c r="I89" s="109"/>
      <c r="J89" s="109">
        <f t="shared" si="19"/>
        <v>0</v>
      </c>
      <c r="K89" s="110">
        <f t="shared" si="24"/>
        <v>0</v>
      </c>
      <c r="L89" s="110"/>
      <c r="M89" s="110"/>
      <c r="N89" s="110"/>
      <c r="O89" s="110"/>
      <c r="P89" s="110"/>
      <c r="Q89" s="1076"/>
      <c r="R89" s="1077"/>
      <c r="S89" s="1082">
        <f t="shared" si="23"/>
        <v>0</v>
      </c>
      <c r="T89" s="1082"/>
      <c r="U89" s="342">
        <f t="shared" si="22"/>
        <v>0</v>
      </c>
      <c r="V89" s="1072">
        <v>1666</v>
      </c>
      <c r="W89" s="1072">
        <v>-1666</v>
      </c>
      <c r="X89" s="342"/>
      <c r="Y89" s="385"/>
      <c r="Z89" s="100"/>
      <c r="AA89" s="218"/>
      <c r="AB89" s="342"/>
      <c r="AC89" s="343"/>
      <c r="AD89" s="343"/>
      <c r="AE89" s="388"/>
      <c r="AF89" s="181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2.75">
      <c r="A90" s="97">
        <v>3</v>
      </c>
      <c r="B90" s="164" t="s">
        <v>256</v>
      </c>
      <c r="C90" s="109">
        <f t="shared" si="5"/>
        <v>0</v>
      </c>
      <c r="D90" s="110"/>
      <c r="E90" s="110"/>
      <c r="F90" s="178"/>
      <c r="G90" s="111"/>
      <c r="H90" s="110"/>
      <c r="I90" s="109"/>
      <c r="J90" s="109">
        <f t="shared" si="19"/>
        <v>500</v>
      </c>
      <c r="K90" s="110">
        <f t="shared" si="24"/>
        <v>0</v>
      </c>
      <c r="L90" s="110"/>
      <c r="M90" s="110"/>
      <c r="N90" s="110"/>
      <c r="O90" s="110"/>
      <c r="P90" s="110"/>
      <c r="Q90" s="1076"/>
      <c r="R90" s="1072">
        <v>500</v>
      </c>
      <c r="S90" s="1082">
        <f t="shared" si="23"/>
        <v>500</v>
      </c>
      <c r="T90" s="1082"/>
      <c r="U90" s="342">
        <f t="shared" si="22"/>
        <v>500</v>
      </c>
      <c r="V90" s="342"/>
      <c r="W90" s="1072">
        <v>500</v>
      </c>
      <c r="X90" s="342"/>
      <c r="Y90" s="385"/>
      <c r="Z90" s="100"/>
      <c r="AA90" s="218"/>
      <c r="AB90" s="342"/>
      <c r="AC90" s="343"/>
      <c r="AD90" s="343"/>
      <c r="AE90" s="388"/>
      <c r="AF90" s="181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2.75">
      <c r="A91" s="97">
        <v>3</v>
      </c>
      <c r="B91" s="164" t="s">
        <v>257</v>
      </c>
      <c r="C91" s="109">
        <f t="shared" si="5"/>
        <v>0</v>
      </c>
      <c r="D91" s="110"/>
      <c r="E91" s="110"/>
      <c r="F91" s="178"/>
      <c r="G91" s="111"/>
      <c r="H91" s="110"/>
      <c r="I91" s="109"/>
      <c r="J91" s="109">
        <f t="shared" si="19"/>
        <v>0</v>
      </c>
      <c r="K91" s="110">
        <f t="shared" si="24"/>
        <v>5233</v>
      </c>
      <c r="L91" s="682">
        <v>5782</v>
      </c>
      <c r="M91" s="682">
        <v>-549</v>
      </c>
      <c r="N91" s="682">
        <v>229</v>
      </c>
      <c r="O91" s="682">
        <v>100</v>
      </c>
      <c r="P91" s="110"/>
      <c r="Q91" s="1072">
        <v>-5562</v>
      </c>
      <c r="R91" s="1077"/>
      <c r="S91" s="1082">
        <f t="shared" si="23"/>
        <v>0</v>
      </c>
      <c r="T91" s="1082"/>
      <c r="U91" s="342">
        <f t="shared" si="22"/>
        <v>0</v>
      </c>
      <c r="V91" s="342"/>
      <c r="W91" s="342"/>
      <c r="X91" s="342"/>
      <c r="Y91" s="385"/>
      <c r="Z91" s="100">
        <v>5782</v>
      </c>
      <c r="AA91" s="218"/>
      <c r="AB91" s="342"/>
      <c r="AC91" s="343"/>
      <c r="AD91" s="343"/>
      <c r="AE91" s="388"/>
      <c r="AF91" s="181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2.75">
      <c r="A92" s="97">
        <v>3</v>
      </c>
      <c r="B92" s="164" t="s">
        <v>258</v>
      </c>
      <c r="C92" s="109">
        <f t="shared" si="5"/>
        <v>0</v>
      </c>
      <c r="D92" s="110"/>
      <c r="E92" s="110"/>
      <c r="F92" s="179"/>
      <c r="G92" s="111"/>
      <c r="H92" s="110"/>
      <c r="I92" s="109"/>
      <c r="J92" s="109">
        <f t="shared" si="19"/>
        <v>13563</v>
      </c>
      <c r="K92" s="110">
        <f t="shared" si="24"/>
        <v>0</v>
      </c>
      <c r="L92" s="110"/>
      <c r="M92" s="110"/>
      <c r="N92" s="110"/>
      <c r="O92" s="110"/>
      <c r="P92" s="110"/>
      <c r="Q92" s="1076"/>
      <c r="R92" s="1072">
        <v>13563</v>
      </c>
      <c r="S92" s="1082">
        <f t="shared" si="23"/>
        <v>25365</v>
      </c>
      <c r="T92" s="1082">
        <v>11802</v>
      </c>
      <c r="U92" s="342">
        <f t="shared" si="22"/>
        <v>25365</v>
      </c>
      <c r="V92" s="342"/>
      <c r="W92" s="1072">
        <v>25365</v>
      </c>
      <c r="X92" s="342"/>
      <c r="Y92" s="385"/>
      <c r="Z92" s="100"/>
      <c r="AA92" s="218"/>
      <c r="AB92" s="342"/>
      <c r="AC92" s="343"/>
      <c r="AD92" s="343"/>
      <c r="AE92" s="388"/>
      <c r="AF92" s="181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2.75">
      <c r="A93" s="954">
        <v>1</v>
      </c>
      <c r="B93" s="923" t="s">
        <v>260</v>
      </c>
      <c r="C93" s="109">
        <f t="shared" si="5"/>
        <v>0</v>
      </c>
      <c r="D93" s="110"/>
      <c r="E93" s="110"/>
      <c r="F93" s="179"/>
      <c r="G93" s="111"/>
      <c r="H93" s="110"/>
      <c r="I93" s="109"/>
      <c r="J93" s="1025">
        <f t="shared" si="19"/>
        <v>2000</v>
      </c>
      <c r="K93" s="950">
        <f t="shared" si="24"/>
        <v>0</v>
      </c>
      <c r="L93" s="950"/>
      <c r="M93" s="950"/>
      <c r="N93" s="950"/>
      <c r="O93" s="950"/>
      <c r="P93" s="950"/>
      <c r="Q93" s="1076"/>
      <c r="R93" s="1077">
        <v>2000</v>
      </c>
      <c r="S93" s="1076">
        <f t="shared" si="23"/>
        <v>0</v>
      </c>
      <c r="T93" s="1076">
        <v>-2000</v>
      </c>
      <c r="U93" s="1076">
        <f t="shared" si="22"/>
        <v>0</v>
      </c>
      <c r="V93" s="1076"/>
      <c r="W93" s="1076"/>
      <c r="X93" s="1076"/>
      <c r="Y93" s="1028"/>
      <c r="Z93" s="715"/>
      <c r="AA93" s="951"/>
      <c r="AB93" s="1076"/>
      <c r="AC93" s="1113"/>
      <c r="AD93" s="1113"/>
      <c r="AE93" s="1114"/>
      <c r="AF93" s="1080"/>
      <c r="AG93" s="721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3.5" thickBot="1">
      <c r="A94" s="954">
        <v>1</v>
      </c>
      <c r="B94" s="923" t="s">
        <v>261</v>
      </c>
      <c r="C94" s="109">
        <f t="shared" si="5"/>
        <v>0</v>
      </c>
      <c r="D94" s="110"/>
      <c r="E94" s="110"/>
      <c r="F94" s="179"/>
      <c r="G94" s="111"/>
      <c r="H94" s="110"/>
      <c r="I94" s="109"/>
      <c r="J94" s="1025">
        <f t="shared" si="19"/>
        <v>7507</v>
      </c>
      <c r="K94" s="950">
        <f t="shared" si="24"/>
        <v>0</v>
      </c>
      <c r="L94" s="110"/>
      <c r="M94" s="110"/>
      <c r="N94" s="110"/>
      <c r="O94" s="110"/>
      <c r="P94" s="110"/>
      <c r="Q94" s="1076"/>
      <c r="R94" s="1077">
        <v>7507</v>
      </c>
      <c r="S94" s="1082">
        <f t="shared" si="23"/>
        <v>0</v>
      </c>
      <c r="T94" s="1076">
        <v>-7507</v>
      </c>
      <c r="U94" s="1076">
        <f t="shared" si="22"/>
        <v>0</v>
      </c>
      <c r="V94" s="342"/>
      <c r="W94" s="342"/>
      <c r="X94" s="342"/>
      <c r="Y94" s="385"/>
      <c r="Z94" s="100"/>
      <c r="AA94" s="218"/>
      <c r="AB94" s="342"/>
      <c r="AC94" s="343"/>
      <c r="AD94" s="343"/>
      <c r="AE94" s="388"/>
      <c r="AF94" s="181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3.5" hidden="1" thickBot="1">
      <c r="A95" s="1055"/>
      <c r="B95" s="923"/>
      <c r="C95" s="109">
        <f t="shared" si="5"/>
        <v>0</v>
      </c>
      <c r="D95" s="110"/>
      <c r="E95" s="110"/>
      <c r="F95" s="179"/>
      <c r="G95" s="111"/>
      <c r="H95" s="110"/>
      <c r="I95" s="109"/>
      <c r="J95" s="109">
        <f t="shared" si="19"/>
        <v>0</v>
      </c>
      <c r="K95" s="110">
        <f t="shared" si="24"/>
        <v>0</v>
      </c>
      <c r="L95" s="110"/>
      <c r="M95" s="110"/>
      <c r="N95" s="110"/>
      <c r="O95" s="110"/>
      <c r="P95" s="110"/>
      <c r="Q95" s="1076"/>
      <c r="R95" s="1077"/>
      <c r="S95" s="1082">
        <f t="shared" si="23"/>
        <v>0</v>
      </c>
      <c r="T95" s="1082"/>
      <c r="U95" s="342">
        <f t="shared" si="22"/>
        <v>0</v>
      </c>
      <c r="V95" s="342"/>
      <c r="W95" s="342"/>
      <c r="X95" s="342"/>
      <c r="Y95" s="385"/>
      <c r="Z95" s="100"/>
      <c r="AA95" s="218"/>
      <c r="AB95" s="342"/>
      <c r="AC95" s="343"/>
      <c r="AD95" s="343"/>
      <c r="AE95" s="388"/>
      <c r="AF95" s="181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3.5" hidden="1" thickBot="1">
      <c r="A96" s="892"/>
      <c r="B96" s="1031"/>
      <c r="C96" s="1068">
        <f t="shared" si="5"/>
        <v>0</v>
      </c>
      <c r="D96" s="185"/>
      <c r="E96" s="185"/>
      <c r="F96" s="1071"/>
      <c r="G96" s="1070"/>
      <c r="H96" s="185"/>
      <c r="I96" s="1068"/>
      <c r="J96" s="1068">
        <f t="shared" si="19"/>
        <v>0</v>
      </c>
      <c r="K96" s="185">
        <f t="shared" si="24"/>
        <v>0</v>
      </c>
      <c r="L96" s="185"/>
      <c r="M96" s="185"/>
      <c r="N96" s="185"/>
      <c r="O96" s="185"/>
      <c r="P96" s="1069"/>
      <c r="Q96" s="342"/>
      <c r="R96" s="342"/>
      <c r="S96" s="342">
        <f>R96+T96</f>
        <v>0</v>
      </c>
      <c r="T96" s="1082"/>
      <c r="U96" s="342">
        <f t="shared" si="22"/>
        <v>0</v>
      </c>
      <c r="V96" s="342"/>
      <c r="W96" s="342"/>
      <c r="X96" s="342"/>
      <c r="Y96" s="388"/>
      <c r="Z96" s="407"/>
      <c r="AA96" s="342"/>
      <c r="AB96" s="342"/>
      <c r="AC96" s="343"/>
      <c r="AD96" s="343"/>
      <c r="AE96" s="388"/>
      <c r="AF96" s="181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13.5" thickBot="1">
      <c r="A97" s="116"/>
      <c r="B97" s="34" t="s">
        <v>39</v>
      </c>
      <c r="C97" s="85">
        <f t="shared" si="5"/>
        <v>0</v>
      </c>
      <c r="D97" s="94">
        <f aca="true" t="shared" si="25" ref="D97:V97">SUM(D68:D96)</f>
        <v>0</v>
      </c>
      <c r="E97" s="87">
        <f>SUM(E68:E96)</f>
        <v>0</v>
      </c>
      <c r="F97" s="117">
        <f>SUM(F68:F96)</f>
        <v>0</v>
      </c>
      <c r="G97" s="94">
        <f>SUM(G68:G96)</f>
        <v>0</v>
      </c>
      <c r="H97" s="85">
        <f t="shared" si="25"/>
        <v>0</v>
      </c>
      <c r="I97" s="85">
        <f t="shared" si="25"/>
        <v>0</v>
      </c>
      <c r="J97" s="85">
        <f t="shared" si="25"/>
        <v>137164</v>
      </c>
      <c r="K97" s="85">
        <f t="shared" si="25"/>
        <v>69265</v>
      </c>
      <c r="L97" s="85">
        <f t="shared" si="25"/>
        <v>58435</v>
      </c>
      <c r="M97" s="85">
        <f t="shared" si="25"/>
        <v>10830</v>
      </c>
      <c r="N97" s="85">
        <f t="shared" si="25"/>
        <v>11730</v>
      </c>
      <c r="O97" s="85">
        <f t="shared" si="25"/>
        <v>1253</v>
      </c>
      <c r="P97" s="137">
        <f t="shared" si="25"/>
        <v>0</v>
      </c>
      <c r="Q97" s="87">
        <f t="shared" si="25"/>
        <v>809</v>
      </c>
      <c r="R97" s="87">
        <f t="shared" si="25"/>
        <v>54107</v>
      </c>
      <c r="S97" s="87">
        <f t="shared" si="25"/>
        <v>29896</v>
      </c>
      <c r="T97" s="87">
        <f t="shared" si="25"/>
        <v>-24211</v>
      </c>
      <c r="U97" s="87">
        <f t="shared" si="25"/>
        <v>112953</v>
      </c>
      <c r="V97" s="87">
        <f t="shared" si="25"/>
        <v>73086</v>
      </c>
      <c r="W97" s="87">
        <f>SUM(W68:W96)</f>
        <v>29867</v>
      </c>
      <c r="X97" s="87">
        <f>SUM(X68:X96)</f>
        <v>10000</v>
      </c>
      <c r="Y97" s="175">
        <f>SUM(Y68:Y96)</f>
        <v>0</v>
      </c>
      <c r="Z97" s="94">
        <f aca="true" t="shared" si="26" ref="Z97:AF97">SUM(Z68:Z96)</f>
        <v>58435</v>
      </c>
      <c r="AA97" s="87">
        <f t="shared" si="26"/>
        <v>0</v>
      </c>
      <c r="AB97" s="87">
        <f t="shared" si="26"/>
        <v>0</v>
      </c>
      <c r="AC97" s="87">
        <f t="shared" si="26"/>
        <v>0</v>
      </c>
      <c r="AD97" s="87">
        <f t="shared" si="26"/>
        <v>0</v>
      </c>
      <c r="AE97" s="175">
        <f t="shared" si="26"/>
        <v>-4770</v>
      </c>
      <c r="AF97" s="117">
        <f t="shared" si="26"/>
        <v>0</v>
      </c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2" ht="13.5" thickBot="1">
      <c r="A98" s="2"/>
      <c r="B98" s="43" t="s">
        <v>40</v>
      </c>
      <c r="C98" s="89">
        <f t="shared" si="5"/>
        <v>0</v>
      </c>
      <c r="D98" s="344">
        <f aca="true" t="shared" si="27" ref="D98:V98">D30+D49+D67+D97</f>
        <v>0</v>
      </c>
      <c r="E98" s="345">
        <v>0</v>
      </c>
      <c r="F98" s="346">
        <v>0</v>
      </c>
      <c r="G98" s="344">
        <v>0</v>
      </c>
      <c r="H98" s="91">
        <f t="shared" si="27"/>
        <v>0</v>
      </c>
      <c r="I98" s="89">
        <f t="shared" si="27"/>
        <v>0</v>
      </c>
      <c r="J98" s="89">
        <f>K98+N98+O98+P98+Q98+R98-1992</f>
        <v>565377</v>
      </c>
      <c r="K98" s="89">
        <f>K30+K49+K67+K97</f>
        <v>73463</v>
      </c>
      <c r="L98" s="136">
        <f t="shared" si="27"/>
        <v>56195</v>
      </c>
      <c r="M98" s="140">
        <f t="shared" si="27"/>
        <v>17268</v>
      </c>
      <c r="N98" s="140">
        <f t="shared" si="27"/>
        <v>11559</v>
      </c>
      <c r="O98" s="140">
        <f t="shared" si="27"/>
        <v>1295</v>
      </c>
      <c r="P98" s="214">
        <f t="shared" si="27"/>
        <v>0</v>
      </c>
      <c r="Q98" s="345">
        <f t="shared" si="27"/>
        <v>217290</v>
      </c>
      <c r="R98" s="345">
        <f>R30+R49+R67+R97</f>
        <v>263762</v>
      </c>
      <c r="S98" s="345">
        <f t="shared" si="27"/>
        <v>373739</v>
      </c>
      <c r="T98" s="140">
        <f t="shared" si="27"/>
        <v>109977</v>
      </c>
      <c r="U98" s="345">
        <f t="shared" si="27"/>
        <v>675354</v>
      </c>
      <c r="V98" s="345">
        <f t="shared" si="27"/>
        <v>178982</v>
      </c>
      <c r="W98" s="345">
        <f>W30+W49+W67+W97</f>
        <v>406829</v>
      </c>
      <c r="X98" s="345">
        <f>X30+X49+X67+X97</f>
        <v>64716</v>
      </c>
      <c r="Y98" s="389">
        <f>Y30+Y49+Y67+Y97</f>
        <v>24827</v>
      </c>
      <c r="Z98" s="344">
        <f>Z30+Z49+Z67+Z97</f>
        <v>56195</v>
      </c>
      <c r="AA98" s="345">
        <f aca="true" t="shared" si="28" ref="AA98:AF98">AA30+AA49+AA67+AA97</f>
        <v>0</v>
      </c>
      <c r="AB98" s="345">
        <f t="shared" si="28"/>
        <v>0</v>
      </c>
      <c r="AC98" s="345">
        <f t="shared" si="28"/>
        <v>0</v>
      </c>
      <c r="AD98" s="345">
        <f t="shared" si="28"/>
        <v>0</v>
      </c>
      <c r="AE98" s="389">
        <f t="shared" si="28"/>
        <v>-1770</v>
      </c>
      <c r="AF98" s="346">
        <f t="shared" si="28"/>
        <v>0</v>
      </c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3.5" thickBot="1">
      <c r="A99" s="32"/>
      <c r="B99" s="265" t="s">
        <v>227</v>
      </c>
      <c r="C99" s="266">
        <f aca="true" t="shared" si="29" ref="C99:AF99">C15+C98</f>
        <v>4332371</v>
      </c>
      <c r="D99" s="267">
        <f t="shared" si="29"/>
        <v>1924833</v>
      </c>
      <c r="E99" s="268">
        <f t="shared" si="29"/>
        <v>270666</v>
      </c>
      <c r="F99" s="670">
        <f t="shared" si="29"/>
        <v>94229</v>
      </c>
      <c r="G99" s="267">
        <f t="shared" si="29"/>
        <v>1471711</v>
      </c>
      <c r="H99" s="434">
        <f t="shared" si="29"/>
        <v>570932</v>
      </c>
      <c r="I99" s="269">
        <f t="shared" si="29"/>
        <v>510437</v>
      </c>
      <c r="J99" s="266">
        <f t="shared" si="29"/>
        <v>16132361</v>
      </c>
      <c r="K99" s="266">
        <f t="shared" si="29"/>
        <v>8418193</v>
      </c>
      <c r="L99" s="270">
        <f t="shared" si="29"/>
        <v>8343529</v>
      </c>
      <c r="M99" s="268">
        <f t="shared" si="29"/>
        <v>74664</v>
      </c>
      <c r="N99" s="268">
        <f t="shared" si="29"/>
        <v>2848769</v>
      </c>
      <c r="O99" s="268">
        <f t="shared" si="29"/>
        <v>167042</v>
      </c>
      <c r="P99" s="524">
        <f t="shared" si="29"/>
        <v>514710</v>
      </c>
      <c r="Q99" s="268">
        <f t="shared" si="29"/>
        <v>2627718</v>
      </c>
      <c r="R99" s="268">
        <f t="shared" si="29"/>
        <v>1557921</v>
      </c>
      <c r="S99" s="348">
        <f t="shared" si="29"/>
        <v>3293775</v>
      </c>
      <c r="T99" s="348">
        <f t="shared" si="29"/>
        <v>1735854</v>
      </c>
      <c r="U99" s="348">
        <f t="shared" si="29"/>
        <v>17868215</v>
      </c>
      <c r="V99" s="348">
        <f t="shared" si="29"/>
        <v>8406659</v>
      </c>
      <c r="W99" s="348">
        <f t="shared" si="29"/>
        <v>3098145</v>
      </c>
      <c r="X99" s="424">
        <f t="shared" si="29"/>
        <v>4599648</v>
      </c>
      <c r="Y99" s="390">
        <f t="shared" si="29"/>
        <v>1763763</v>
      </c>
      <c r="Z99" s="347">
        <f t="shared" si="29"/>
        <v>6403231</v>
      </c>
      <c r="AA99" s="348">
        <f t="shared" si="29"/>
        <v>1882848</v>
      </c>
      <c r="AB99" s="348">
        <f t="shared" si="29"/>
        <v>57450</v>
      </c>
      <c r="AC99" s="348">
        <f t="shared" si="29"/>
        <v>3000</v>
      </c>
      <c r="AD99" s="348">
        <f t="shared" si="29"/>
        <v>730</v>
      </c>
      <c r="AE99" s="390">
        <f t="shared" si="29"/>
        <v>316604</v>
      </c>
      <c r="AF99" s="349">
        <f t="shared" si="29"/>
        <v>101065</v>
      </c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3.5" thickBot="1">
      <c r="A100" s="32"/>
      <c r="B100" s="43" t="s">
        <v>51</v>
      </c>
      <c r="C100" s="79">
        <f aca="true" t="shared" si="30" ref="C100:P100">C16</f>
        <v>0</v>
      </c>
      <c r="D100" s="146">
        <f t="shared" si="30"/>
        <v>0</v>
      </c>
      <c r="E100" s="143">
        <f t="shared" si="30"/>
        <v>0</v>
      </c>
      <c r="F100" s="1098">
        <f t="shared" si="30"/>
        <v>0</v>
      </c>
      <c r="G100" s="146"/>
      <c r="H100" s="435">
        <f t="shared" si="30"/>
        <v>0</v>
      </c>
      <c r="I100" s="142">
        <f t="shared" si="30"/>
        <v>0</v>
      </c>
      <c r="J100" s="79">
        <f>K100+N100+O100+P100+Q100+R100</f>
        <v>92146</v>
      </c>
      <c r="K100" s="79">
        <f t="shared" si="30"/>
        <v>0</v>
      </c>
      <c r="L100" s="141">
        <f t="shared" si="30"/>
        <v>0</v>
      </c>
      <c r="M100" s="143">
        <f t="shared" si="30"/>
        <v>0</v>
      </c>
      <c r="N100" s="143">
        <f t="shared" si="30"/>
        <v>0</v>
      </c>
      <c r="O100" s="143">
        <f t="shared" si="30"/>
        <v>0</v>
      </c>
      <c r="P100" s="497">
        <f t="shared" si="30"/>
        <v>0</v>
      </c>
      <c r="Q100" s="124">
        <v>76563</v>
      </c>
      <c r="R100" s="124">
        <v>15583</v>
      </c>
      <c r="S100" s="528">
        <f>R100+T100</f>
        <v>34146</v>
      </c>
      <c r="T100" s="139">
        <v>18563</v>
      </c>
      <c r="U100" s="528">
        <f>Q100+S100</f>
        <v>110709</v>
      </c>
      <c r="V100" s="527">
        <f>U100</f>
        <v>110709</v>
      </c>
      <c r="W100" s="351">
        <f>W16</f>
        <v>0</v>
      </c>
      <c r="X100" s="351">
        <v>0</v>
      </c>
      <c r="Y100" s="391">
        <f>Y16</f>
        <v>0</v>
      </c>
      <c r="Z100" s="350">
        <f>Z16</f>
        <v>0</v>
      </c>
      <c r="AA100" s="351">
        <f aca="true" t="shared" si="31" ref="AA100:AF100">AA16</f>
        <v>0</v>
      </c>
      <c r="AB100" s="351">
        <f t="shared" si="31"/>
        <v>0</v>
      </c>
      <c r="AC100" s="351">
        <f t="shared" si="31"/>
        <v>0</v>
      </c>
      <c r="AD100" s="351">
        <f t="shared" si="31"/>
        <v>0</v>
      </c>
      <c r="AE100" s="391">
        <f t="shared" si="31"/>
        <v>0</v>
      </c>
      <c r="AF100" s="352">
        <f t="shared" si="31"/>
        <v>0</v>
      </c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3.5" thickBot="1">
      <c r="A101" s="529"/>
      <c r="B101" s="530"/>
      <c r="C101" s="531"/>
      <c r="D101" s="556">
        <f>D15+E15+F15</f>
        <v>2289728</v>
      </c>
      <c r="E101" s="531"/>
      <c r="F101" s="531"/>
      <c r="G101" s="680">
        <f>G15+H15</f>
        <v>2042643</v>
      </c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2"/>
      <c r="AA101" s="532"/>
      <c r="AB101" s="532"/>
      <c r="AC101" s="532"/>
      <c r="AD101" s="532"/>
      <c r="AE101" s="532"/>
      <c r="AF101" s="532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12.75">
      <c r="A102" s="1096"/>
      <c r="B102" s="1090" t="s">
        <v>186</v>
      </c>
      <c r="C102" s="1091"/>
      <c r="D102" s="1091"/>
      <c r="E102" s="1091"/>
      <c r="F102" s="1091"/>
      <c r="G102" s="1091"/>
      <c r="H102" s="1091"/>
      <c r="I102" s="1091"/>
      <c r="J102" s="1091">
        <f>J99+J18+J58</f>
        <v>15513021</v>
      </c>
      <c r="K102" s="1091">
        <f aca="true" t="shared" si="32" ref="K102:AF102">K99+K18+K58</f>
        <v>8202369</v>
      </c>
      <c r="L102" s="1091">
        <f t="shared" si="32"/>
        <v>8131092</v>
      </c>
      <c r="M102" s="1091">
        <f t="shared" si="32"/>
        <v>71277</v>
      </c>
      <c r="N102" s="1091">
        <f t="shared" si="32"/>
        <v>2775276</v>
      </c>
      <c r="O102" s="1091">
        <f t="shared" si="32"/>
        <v>162778</v>
      </c>
      <c r="P102" s="1091">
        <f t="shared" si="32"/>
        <v>514710</v>
      </c>
      <c r="Q102" s="1091">
        <f t="shared" si="32"/>
        <v>2372954</v>
      </c>
      <c r="R102" s="1091">
        <f t="shared" si="32"/>
        <v>1486926</v>
      </c>
      <c r="S102" s="1091">
        <f t="shared" si="32"/>
        <v>3079906</v>
      </c>
      <c r="T102" s="1091">
        <f t="shared" si="32"/>
        <v>1592980</v>
      </c>
      <c r="U102" s="1091">
        <f t="shared" si="32"/>
        <v>17106001</v>
      </c>
      <c r="V102" s="1091">
        <f t="shared" si="32"/>
        <v>8059292</v>
      </c>
      <c r="W102" s="1091">
        <f t="shared" si="32"/>
        <v>2940636</v>
      </c>
      <c r="X102" s="1091">
        <f t="shared" si="32"/>
        <v>4428345</v>
      </c>
      <c r="Y102" s="1091">
        <f t="shared" si="32"/>
        <v>1677726</v>
      </c>
      <c r="Z102" s="1092">
        <f t="shared" si="32"/>
        <v>6269965</v>
      </c>
      <c r="AA102" s="1092">
        <f t="shared" si="32"/>
        <v>1805813</v>
      </c>
      <c r="AB102" s="1090">
        <f t="shared" si="32"/>
        <v>55314</v>
      </c>
      <c r="AC102" s="1091">
        <f t="shared" si="32"/>
        <v>3000</v>
      </c>
      <c r="AD102" s="1091">
        <f t="shared" si="32"/>
        <v>730</v>
      </c>
      <c r="AE102" s="1091">
        <f t="shared" si="32"/>
        <v>316604</v>
      </c>
      <c r="AF102" s="1091">
        <f t="shared" si="32"/>
        <v>101065</v>
      </c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12.75">
      <c r="A103" s="1096"/>
      <c r="B103" s="1093" t="s">
        <v>51</v>
      </c>
      <c r="C103" s="1094"/>
      <c r="D103" s="1094"/>
      <c r="E103" s="1094"/>
      <c r="F103" s="1094"/>
      <c r="G103" s="1094"/>
      <c r="H103" s="1094"/>
      <c r="I103" s="1094"/>
      <c r="J103" s="1094">
        <f>Q103+R103</f>
        <v>92146</v>
      </c>
      <c r="K103" s="1094"/>
      <c r="L103" s="1094"/>
      <c r="M103" s="1094"/>
      <c r="N103" s="1094"/>
      <c r="O103" s="1094"/>
      <c r="P103" s="1094"/>
      <c r="Q103" s="1094">
        <v>76563</v>
      </c>
      <c r="R103" s="1094">
        <v>15583</v>
      </c>
      <c r="S103" s="1094">
        <f>R103+T103</f>
        <v>34146</v>
      </c>
      <c r="T103" s="1094">
        <v>18563</v>
      </c>
      <c r="U103" s="1094">
        <f>J103+T103</f>
        <v>110709</v>
      </c>
      <c r="V103" s="1094">
        <v>110709</v>
      </c>
      <c r="W103" s="1094"/>
      <c r="X103" s="1094"/>
      <c r="Y103" s="1095"/>
      <c r="Z103" s="1095"/>
      <c r="AA103" s="1095"/>
      <c r="AB103" s="1093"/>
      <c r="AC103" s="1094"/>
      <c r="AD103" s="1094"/>
      <c r="AE103" s="1094"/>
      <c r="AF103" s="109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12.75">
      <c r="A104" s="51">
        <v>1</v>
      </c>
      <c r="B104" s="52" t="s">
        <v>19</v>
      </c>
      <c r="C104" s="70">
        <f>D104+H104</f>
        <v>0</v>
      </c>
      <c r="D104" s="71">
        <v>0</v>
      </c>
      <c r="E104" s="71"/>
      <c r="F104" s="71">
        <v>0</v>
      </c>
      <c r="G104" s="71"/>
      <c r="H104" s="71">
        <v>0</v>
      </c>
      <c r="I104" s="72">
        <v>0</v>
      </c>
      <c r="J104" s="70">
        <f>K104+N104+O104+P104+Q104+R104</f>
        <v>21327</v>
      </c>
      <c r="K104" s="71">
        <f>L104+M104</f>
        <v>0</v>
      </c>
      <c r="L104" s="71">
        <f>L24</f>
        <v>0</v>
      </c>
      <c r="M104" s="71">
        <f>M21</f>
        <v>0</v>
      </c>
      <c r="N104" s="71">
        <f>N24</f>
        <v>0</v>
      </c>
      <c r="O104" s="71">
        <f>O24</f>
        <v>0</v>
      </c>
      <c r="P104" s="71">
        <f>P21</f>
        <v>0</v>
      </c>
      <c r="Q104" s="150"/>
      <c r="R104" s="150">
        <f>R27+R33+R43+R45+R50+R51+R54+R55+R57+R62+R64+R71+R75+R80+R84+R87+R88+R93+R94</f>
        <v>21327</v>
      </c>
      <c r="S104" s="150">
        <f>R104+T104</f>
        <v>0</v>
      </c>
      <c r="T104" s="150">
        <f>T27+T33+T43+T45+T50+T51+T54+T55+T57+T62+T64+T71+T75+T80+T84+T87+T88+T93+T94</f>
        <v>-21327</v>
      </c>
      <c r="U104" s="150">
        <f>J104+T104</f>
        <v>0</v>
      </c>
      <c r="V104" s="150">
        <v>0</v>
      </c>
      <c r="W104" s="150">
        <v>0</v>
      </c>
      <c r="X104" s="150">
        <v>0</v>
      </c>
      <c r="Y104" s="394">
        <v>0</v>
      </c>
      <c r="Z104" s="409">
        <v>0</v>
      </c>
      <c r="AA104" s="287">
        <v>0</v>
      </c>
      <c r="AB104" s="287">
        <v>0</v>
      </c>
      <c r="AC104" s="287">
        <v>0</v>
      </c>
      <c r="AD104" s="287">
        <v>0</v>
      </c>
      <c r="AE104" s="287">
        <v>0</v>
      </c>
      <c r="AF104" s="357">
        <v>0</v>
      </c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12.75">
      <c r="A105" s="49">
        <v>3</v>
      </c>
      <c r="B105" s="46" t="s">
        <v>19</v>
      </c>
      <c r="C105" s="65">
        <f>D105+H105</f>
        <v>0</v>
      </c>
      <c r="D105" s="68">
        <v>0</v>
      </c>
      <c r="E105" s="68"/>
      <c r="F105" s="68">
        <v>0</v>
      </c>
      <c r="G105" s="68"/>
      <c r="H105" s="68">
        <v>0</v>
      </c>
      <c r="I105" s="74">
        <v>0</v>
      </c>
      <c r="J105" s="73">
        <f>K105+N105+O105+P105+Q105+R105-1992</f>
        <v>544050</v>
      </c>
      <c r="K105" s="68">
        <f>L105+M105</f>
        <v>73463</v>
      </c>
      <c r="L105" s="68">
        <f>L25+L26+L37+L42+L68+L69+L72+L79+L91</f>
        <v>56195</v>
      </c>
      <c r="M105" s="68">
        <f>M25+M26+M37+M63+M68+M69+M79+M82+M91</f>
        <v>17268</v>
      </c>
      <c r="N105" s="68">
        <f>N26+N37+N38+N42+N68+N69+N72+N79+N91</f>
        <v>11559</v>
      </c>
      <c r="O105" s="68">
        <f>O26+O37+O42+O68+O69+O72+O91</f>
        <v>1295</v>
      </c>
      <c r="P105" s="68">
        <f>P19+P20+P28</f>
        <v>0</v>
      </c>
      <c r="Q105" s="67">
        <f>Q19+Q20+Q21+Q23+Q26+Q31+Q32+Q34+Q37+Q40+Q41+Q42+Q46+Q47+Q52+Q53+Q59+Q63+Q68+Q69+Q70+Q72+Q74+Q77+Q78+Q79+Q81+Q82+Q85+Q91</f>
        <v>217290</v>
      </c>
      <c r="R105" s="67">
        <f>R20+R22+R24+R38+R56+R61+R63+R68+R74+R81+R90+R92</f>
        <v>242435</v>
      </c>
      <c r="S105" s="67">
        <f>R105+T105</f>
        <v>373739</v>
      </c>
      <c r="T105" s="67">
        <f>T34+T35+T39+T48+T53+T61+T63+T68+T72+T74+T77+T78+T81+T83+T86+T92</f>
        <v>131304</v>
      </c>
      <c r="U105" s="67">
        <f>J105+T105</f>
        <v>675354</v>
      </c>
      <c r="V105" s="67">
        <f>V35+V37+V40+V44+V46+V60+V61+V63+V68+V70+V72+V73+V81+V83+V89</f>
        <v>178982</v>
      </c>
      <c r="W105" s="67">
        <f>W19+W20+W22+W23+W24+W26+W31+W35+W37+W44+W48+W56+W59+W60+W68+W70+W73+W76+W81+W86+W89+W90+W92</f>
        <v>406829</v>
      </c>
      <c r="X105" s="67">
        <f>X37+X38+X41+X47+X63+X76+X85</f>
        <v>64716</v>
      </c>
      <c r="Y105" s="212">
        <f>Y21+Y32+Y39+Y52</f>
        <v>24827</v>
      </c>
      <c r="Z105" s="66">
        <f>Z25+Z26+Z37+Z42+Z68+Z69+Z72+Z79+Z91</f>
        <v>56195</v>
      </c>
      <c r="AA105" s="67">
        <v>0</v>
      </c>
      <c r="AB105" s="67">
        <v>0</v>
      </c>
      <c r="AC105" s="67">
        <v>0</v>
      </c>
      <c r="AD105" s="67">
        <v>0</v>
      </c>
      <c r="AE105" s="67">
        <f>AE26+AE68</f>
        <v>-1770</v>
      </c>
      <c r="AF105" s="172">
        <v>0</v>
      </c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2.75">
      <c r="A106" s="50">
        <v>5</v>
      </c>
      <c r="B106" s="489" t="s">
        <v>19</v>
      </c>
      <c r="C106" s="490">
        <f>D106+H106</f>
        <v>0</v>
      </c>
      <c r="D106" s="491">
        <v>0</v>
      </c>
      <c r="E106" s="491"/>
      <c r="F106" s="491">
        <v>0</v>
      </c>
      <c r="G106" s="76"/>
      <c r="H106" s="76">
        <v>0</v>
      </c>
      <c r="I106" s="77">
        <v>0</v>
      </c>
      <c r="J106" s="75">
        <f>K106+N106+O106+P106+Q106+R106</f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926">
        <v>0</v>
      </c>
      <c r="R106" s="926">
        <v>0</v>
      </c>
      <c r="S106" s="151">
        <v>0</v>
      </c>
      <c r="T106" s="151">
        <v>0</v>
      </c>
      <c r="U106" s="151">
        <f>J106+T106</f>
        <v>0</v>
      </c>
      <c r="V106" s="151">
        <v>0</v>
      </c>
      <c r="W106" s="151">
        <v>0</v>
      </c>
      <c r="X106" s="151">
        <v>0</v>
      </c>
      <c r="Y106" s="395">
        <v>0</v>
      </c>
      <c r="Z106" s="410">
        <v>0</v>
      </c>
      <c r="AA106" s="358">
        <v>0</v>
      </c>
      <c r="AB106" s="358">
        <v>0</v>
      </c>
      <c r="AC106" s="358">
        <v>0</v>
      </c>
      <c r="AD106" s="358">
        <v>0</v>
      </c>
      <c r="AE106" s="358">
        <v>0</v>
      </c>
      <c r="AF106" s="359">
        <v>0</v>
      </c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12.75">
      <c r="A107" s="47" t="s">
        <v>19</v>
      </c>
      <c r="B107" s="47"/>
      <c r="C107" s="75">
        <f>SUM(C104:C106)</f>
        <v>0</v>
      </c>
      <c r="D107" s="76">
        <f>SUM(D104:D106)</f>
        <v>0</v>
      </c>
      <c r="E107" s="76">
        <f>SUM(E104:E106)</f>
        <v>0</v>
      </c>
      <c r="F107" s="76">
        <f>SUM(F104:F106)</f>
        <v>0</v>
      </c>
      <c r="G107" s="76">
        <f>SUM(G104:G106)</f>
        <v>0</v>
      </c>
      <c r="H107" s="76">
        <f aca="true" t="shared" si="33" ref="H107:P107">SUM(H104:H106)</f>
        <v>0</v>
      </c>
      <c r="I107" s="77">
        <f t="shared" si="33"/>
        <v>0</v>
      </c>
      <c r="J107" s="147">
        <f>K107+N107+O107+P107+Q107+R107-1992</f>
        <v>565377</v>
      </c>
      <c r="K107" s="76">
        <f t="shared" si="33"/>
        <v>73463</v>
      </c>
      <c r="L107" s="76">
        <f t="shared" si="33"/>
        <v>56195</v>
      </c>
      <c r="M107" s="76">
        <f t="shared" si="33"/>
        <v>17268</v>
      </c>
      <c r="N107" s="76">
        <f t="shared" si="33"/>
        <v>11559</v>
      </c>
      <c r="O107" s="76">
        <f t="shared" si="33"/>
        <v>1295</v>
      </c>
      <c r="P107" s="76">
        <f t="shared" si="33"/>
        <v>0</v>
      </c>
      <c r="Q107" s="361">
        <f aca="true" t="shared" si="34" ref="Q107:AF107">SUM(Q104:Q106)</f>
        <v>217290</v>
      </c>
      <c r="R107" s="361">
        <f t="shared" si="34"/>
        <v>263762</v>
      </c>
      <c r="S107" s="151">
        <f t="shared" si="34"/>
        <v>373739</v>
      </c>
      <c r="T107" s="151">
        <f t="shared" si="34"/>
        <v>109977</v>
      </c>
      <c r="U107" s="151">
        <f t="shared" si="34"/>
        <v>675354</v>
      </c>
      <c r="V107" s="361">
        <f t="shared" si="34"/>
        <v>178982</v>
      </c>
      <c r="W107" s="361">
        <f>SUM(W104:W106)</f>
        <v>406829</v>
      </c>
      <c r="X107" s="361">
        <f>SUM(X104:X106)</f>
        <v>64716</v>
      </c>
      <c r="Y107" s="396">
        <f t="shared" si="34"/>
        <v>24827</v>
      </c>
      <c r="Z107" s="360">
        <f t="shared" si="34"/>
        <v>56195</v>
      </c>
      <c r="AA107" s="361">
        <f t="shared" si="34"/>
        <v>0</v>
      </c>
      <c r="AB107" s="361">
        <f t="shared" si="34"/>
        <v>0</v>
      </c>
      <c r="AC107" s="361">
        <f t="shared" si="34"/>
        <v>0</v>
      </c>
      <c r="AD107" s="361">
        <f t="shared" si="34"/>
        <v>0</v>
      </c>
      <c r="AE107" s="396">
        <f>SUM(AE104:AE106)</f>
        <v>-1770</v>
      </c>
      <c r="AF107" s="144">
        <f t="shared" si="34"/>
        <v>0</v>
      </c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12.75">
      <c r="A108" s="57"/>
      <c r="B108" s="5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12.75">
      <c r="A109" t="s">
        <v>41</v>
      </c>
      <c r="C109" s="2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12.75">
      <c r="A110" t="s">
        <v>42</v>
      </c>
      <c r="B110" t="s">
        <v>43</v>
      </c>
      <c r="C110" s="2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ht="12.75">
      <c r="A111" t="s">
        <v>44</v>
      </c>
      <c r="B111" t="s">
        <v>45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ht="12.75">
      <c r="A112" t="s">
        <v>46</v>
      </c>
      <c r="B112" t="s">
        <v>47</v>
      </c>
      <c r="C112" s="2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ht="12.75">
      <c r="A113" s="4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ht="12.75">
      <c r="A114" s="4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12.75">
      <c r="A115" s="4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ht="12.75">
      <c r="A116" s="4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ht="12.75">
      <c r="A117" s="4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12.75">
      <c r="A118" s="4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ht="12.75">
      <c r="A119" s="4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12.75">
      <c r="A120" s="4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12.75">
      <c r="A121" s="4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ht="12.75">
      <c r="A122" s="4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12.75">
      <c r="A123" s="4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12.75">
      <c r="A124" s="4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12.75">
      <c r="A125" s="4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12.75">
      <c r="A126" s="4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ht="12.75">
      <c r="A127" s="4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ht="12.75">
      <c r="A128" s="4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ht="12.75">
      <c r="A129" s="4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3:42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3:42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3:42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3:42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3:42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3:42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3:42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3:42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3:42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3:42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3:42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3:42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3:42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</sheetData>
  <mergeCells count="1">
    <mergeCell ref="G11:I11"/>
  </mergeCells>
  <printOptions horizontalCentered="1"/>
  <pageMargins left="0.1968503937007874" right="0" top="0.7874015748031497" bottom="0" header="0.31496062992125984" footer="0.5118110236220472"/>
  <pageSetup horizontalDpi="600" verticalDpi="600" orientation="landscape" paperSize="9" scale="48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T114"/>
  <sheetViews>
    <sheetView workbookViewId="0" topLeftCell="N1">
      <selection activeCell="N1" sqref="A1:IV16384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4" width="9.625" style="0" customWidth="1"/>
    <col min="5" max="5" width="10.125" style="0" customWidth="1"/>
    <col min="6" max="6" width="9.375" style="0" customWidth="1"/>
    <col min="7" max="7" width="9.00390625" style="0" customWidth="1"/>
    <col min="8" max="8" width="11.125" style="0" customWidth="1"/>
    <col min="9" max="9" width="10.25390625" style="0" customWidth="1"/>
    <col min="10" max="11" width="9.875" style="0" customWidth="1"/>
    <col min="12" max="12" width="8.625" style="0" customWidth="1"/>
    <col min="13" max="13" width="9.00390625" style="0" customWidth="1"/>
    <col min="14" max="14" width="8.875" style="0" customWidth="1"/>
    <col min="15" max="15" width="8.125" style="0" customWidth="1"/>
    <col min="16" max="16" width="12.00390625" style="0" customWidth="1"/>
    <col min="17" max="17" width="12.625" style="0" customWidth="1"/>
    <col min="18" max="19" width="11.625" style="0" customWidth="1"/>
    <col min="20" max="20" width="11.625" style="0" hidden="1" customWidth="1"/>
    <col min="21" max="21" width="12.00390625" style="0" customWidth="1"/>
    <col min="22" max="22" width="9.25390625" style="0" customWidth="1"/>
    <col min="23" max="23" width="9.00390625" style="0" customWidth="1"/>
    <col min="24" max="24" width="10.125" style="0" customWidth="1"/>
    <col min="25" max="25" width="9.00390625" style="0" customWidth="1"/>
    <col min="26" max="26" width="9.75390625" style="0" customWidth="1"/>
    <col min="27" max="27" width="10.75390625" style="0" customWidth="1"/>
    <col min="28" max="29" width="10.125" style="0" customWidth="1"/>
    <col min="30" max="30" width="7.875" style="0" customWidth="1"/>
    <col min="31" max="31" width="7.375" style="0" customWidth="1"/>
    <col min="32" max="32" width="7.875" style="0" customWidth="1"/>
  </cols>
  <sheetData>
    <row r="4" ht="18">
      <c r="Y4" s="113"/>
    </row>
    <row r="5" ht="12.75">
      <c r="J5" t="s">
        <v>52</v>
      </c>
    </row>
    <row r="6" spans="2:17" s="25" customFormat="1" ht="18">
      <c r="B6" s="127"/>
      <c r="D6" s="127"/>
      <c r="E6" s="127"/>
      <c r="F6" s="272"/>
      <c r="G6"/>
      <c r="H6" s="127" t="s">
        <v>122</v>
      </c>
      <c r="P6" s="128"/>
      <c r="Q6" s="128"/>
    </row>
    <row r="7" spans="2:20" ht="18">
      <c r="B7" s="7"/>
      <c r="C7" s="6"/>
      <c r="D7" s="127"/>
      <c r="E7" s="127"/>
      <c r="F7" s="25"/>
      <c r="H7" s="127"/>
      <c r="I7" s="25"/>
      <c r="J7" s="128"/>
      <c r="K7" s="128"/>
      <c r="L7" s="128"/>
      <c r="M7" s="128"/>
      <c r="N7" s="128"/>
      <c r="O7" s="128"/>
      <c r="P7" s="128"/>
      <c r="Q7" s="128"/>
      <c r="R7" s="128"/>
      <c r="S7" s="6"/>
      <c r="T7" s="6"/>
    </row>
    <row r="8" spans="2:20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42" ht="12.75">
      <c r="A9" s="44"/>
      <c r="B9" s="26" t="s">
        <v>0</v>
      </c>
      <c r="C9" s="35" t="s">
        <v>1</v>
      </c>
      <c r="D9" s="14" t="s">
        <v>2</v>
      </c>
      <c r="E9" s="14"/>
      <c r="F9" s="14"/>
      <c r="G9" s="14"/>
      <c r="H9" s="13"/>
      <c r="I9" s="11" t="s">
        <v>3</v>
      </c>
      <c r="J9" s="8"/>
      <c r="K9" s="8"/>
      <c r="L9" s="8"/>
      <c r="M9" s="9"/>
      <c r="N9" s="8"/>
      <c r="O9" s="8"/>
      <c r="P9" s="8"/>
      <c r="Q9" s="9"/>
      <c r="R9" s="191" t="s">
        <v>66</v>
      </c>
      <c r="S9" s="192"/>
      <c r="T9" s="215"/>
      <c r="U9" s="234" t="s">
        <v>4</v>
      </c>
      <c r="V9" s="374" t="s">
        <v>109</v>
      </c>
      <c r="W9" s="11"/>
      <c r="X9" s="11"/>
      <c r="Y9" s="11"/>
      <c r="Z9" s="13"/>
      <c r="AA9" s="439" t="s">
        <v>110</v>
      </c>
      <c r="AB9" s="440" t="s">
        <v>107</v>
      </c>
      <c r="AC9" s="440"/>
      <c r="AD9" s="276"/>
      <c r="AE9" s="276"/>
      <c r="AF9" s="277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2.75">
      <c r="A10" s="5" t="s">
        <v>6</v>
      </c>
      <c r="B10" s="5"/>
      <c r="C10" s="36"/>
      <c r="D10" s="33" t="s">
        <v>7</v>
      </c>
      <c r="E10" s="33"/>
      <c r="F10" s="37"/>
      <c r="G10" s="62"/>
      <c r="H10" s="38"/>
      <c r="I10" s="60" t="s">
        <v>8</v>
      </c>
      <c r="J10" s="58"/>
      <c r="K10" s="58"/>
      <c r="L10" s="59"/>
      <c r="M10" s="30" t="s">
        <v>9</v>
      </c>
      <c r="N10" s="30" t="s">
        <v>10</v>
      </c>
      <c r="O10" s="1" t="s">
        <v>11</v>
      </c>
      <c r="P10" s="166" t="s">
        <v>11</v>
      </c>
      <c r="Q10" s="167" t="s">
        <v>12</v>
      </c>
      <c r="R10" s="193" t="s">
        <v>65</v>
      </c>
      <c r="S10" s="194"/>
      <c r="T10" s="12" t="s">
        <v>64</v>
      </c>
      <c r="U10" s="306"/>
      <c r="V10" s="293" t="s">
        <v>103</v>
      </c>
      <c r="W10" s="294" t="s">
        <v>4</v>
      </c>
      <c r="X10" s="294" t="s">
        <v>103</v>
      </c>
      <c r="Y10" s="413" t="s">
        <v>91</v>
      </c>
      <c r="Z10" s="411" t="s">
        <v>111</v>
      </c>
      <c r="AA10" s="295" t="s">
        <v>125</v>
      </c>
      <c r="AB10" s="294" t="s">
        <v>27</v>
      </c>
      <c r="AC10" s="295" t="s">
        <v>119</v>
      </c>
      <c r="AD10" s="294" t="s">
        <v>86</v>
      </c>
      <c r="AE10" s="295" t="s">
        <v>20</v>
      </c>
      <c r="AF10" s="296" t="s">
        <v>92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2.75">
      <c r="A11" s="5" t="s">
        <v>13</v>
      </c>
      <c r="B11" s="5"/>
      <c r="C11" s="29"/>
      <c r="D11" s="20" t="s">
        <v>14</v>
      </c>
      <c r="E11" s="436" t="s">
        <v>92</v>
      </c>
      <c r="F11" s="53" t="s">
        <v>15</v>
      </c>
      <c r="G11" s="28"/>
      <c r="H11" s="38"/>
      <c r="I11" s="20"/>
      <c r="J11" s="63" t="s">
        <v>16</v>
      </c>
      <c r="K11" s="231"/>
      <c r="L11" s="61"/>
      <c r="M11" s="31"/>
      <c r="N11" s="1" t="s">
        <v>17</v>
      </c>
      <c r="O11" s="1" t="s">
        <v>18</v>
      </c>
      <c r="P11" s="39" t="s">
        <v>50</v>
      </c>
      <c r="Q11" s="168" t="s">
        <v>48</v>
      </c>
      <c r="R11" s="93" t="s">
        <v>19</v>
      </c>
      <c r="S11" s="134" t="s">
        <v>5</v>
      </c>
      <c r="T11" s="15" t="s">
        <v>27</v>
      </c>
      <c r="U11" s="306"/>
      <c r="V11" s="297" t="s">
        <v>104</v>
      </c>
      <c r="W11" s="298" t="s">
        <v>94</v>
      </c>
      <c r="X11" s="298" t="s">
        <v>104</v>
      </c>
      <c r="Y11" s="414" t="s">
        <v>93</v>
      </c>
      <c r="Z11" s="412" t="s">
        <v>114</v>
      </c>
      <c r="AA11" s="299" t="s">
        <v>115</v>
      </c>
      <c r="AB11" s="298" t="s">
        <v>116</v>
      </c>
      <c r="AC11" s="299" t="s">
        <v>118</v>
      </c>
      <c r="AD11" s="298" t="s">
        <v>87</v>
      </c>
      <c r="AE11" s="299" t="s">
        <v>88</v>
      </c>
      <c r="AF11" s="300" t="s">
        <v>95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2.75">
      <c r="A12" s="5" t="s">
        <v>21</v>
      </c>
      <c r="B12" s="12" t="s">
        <v>22</v>
      </c>
      <c r="C12" s="29"/>
      <c r="D12" s="20" t="s">
        <v>23</v>
      </c>
      <c r="E12" s="437" t="s">
        <v>95</v>
      </c>
      <c r="F12" s="209" t="s">
        <v>19</v>
      </c>
      <c r="G12" s="16" t="s">
        <v>7</v>
      </c>
      <c r="H12" s="40" t="s">
        <v>19</v>
      </c>
      <c r="I12" s="38" t="s">
        <v>19</v>
      </c>
      <c r="J12" s="18" t="s">
        <v>24</v>
      </c>
      <c r="K12" s="209" t="s">
        <v>89</v>
      </c>
      <c r="L12" s="209" t="s">
        <v>25</v>
      </c>
      <c r="M12" s="39"/>
      <c r="N12" s="23"/>
      <c r="O12" s="1" t="s">
        <v>26</v>
      </c>
      <c r="P12" s="39" t="s">
        <v>49</v>
      </c>
      <c r="Q12" s="168" t="s">
        <v>27</v>
      </c>
      <c r="R12" s="40" t="s">
        <v>28</v>
      </c>
      <c r="S12" s="134" t="s">
        <v>23</v>
      </c>
      <c r="T12" s="15" t="s">
        <v>49</v>
      </c>
      <c r="U12" s="306" t="s">
        <v>19</v>
      </c>
      <c r="V12" s="297" t="s">
        <v>105</v>
      </c>
      <c r="W12" s="298" t="s">
        <v>97</v>
      </c>
      <c r="X12" s="298" t="s">
        <v>108</v>
      </c>
      <c r="Y12" s="414" t="s">
        <v>96</v>
      </c>
      <c r="Z12" s="412" t="s">
        <v>112</v>
      </c>
      <c r="AA12" s="299" t="s">
        <v>127</v>
      </c>
      <c r="AB12" s="298" t="s">
        <v>117</v>
      </c>
      <c r="AC12" s="299" t="s">
        <v>120</v>
      </c>
      <c r="AD12" s="298" t="s">
        <v>29</v>
      </c>
      <c r="AE12" s="299" t="s">
        <v>34</v>
      </c>
      <c r="AF12" s="300" t="s">
        <v>98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6" ht="13.5" thickBot="1">
      <c r="A13" s="45" t="s">
        <v>30</v>
      </c>
      <c r="B13" s="27" t="s">
        <v>31</v>
      </c>
      <c r="C13" s="41" t="s">
        <v>19</v>
      </c>
      <c r="D13" s="21" t="s">
        <v>32</v>
      </c>
      <c r="E13" s="437" t="s">
        <v>128</v>
      </c>
      <c r="F13" s="22"/>
      <c r="G13" s="17" t="s">
        <v>33</v>
      </c>
      <c r="H13" s="42"/>
      <c r="I13" s="208"/>
      <c r="J13" s="19"/>
      <c r="K13" s="19" t="s">
        <v>90</v>
      </c>
      <c r="L13" s="210"/>
      <c r="M13" s="22"/>
      <c r="N13" s="19"/>
      <c r="O13" s="3"/>
      <c r="P13" s="169" t="s">
        <v>28</v>
      </c>
      <c r="Q13" s="170"/>
      <c r="R13" s="42"/>
      <c r="S13" s="135" t="s">
        <v>27</v>
      </c>
      <c r="T13" s="41" t="s">
        <v>28</v>
      </c>
      <c r="U13" s="307"/>
      <c r="V13" s="421" t="s">
        <v>106</v>
      </c>
      <c r="W13" s="302" t="s">
        <v>100</v>
      </c>
      <c r="X13" s="420" t="s">
        <v>106</v>
      </c>
      <c r="Y13" s="303" t="s">
        <v>99</v>
      </c>
      <c r="Z13" s="423" t="s">
        <v>113</v>
      </c>
      <c r="AA13" s="302" t="s">
        <v>126</v>
      </c>
      <c r="AB13" s="422" t="s">
        <v>118</v>
      </c>
      <c r="AC13" s="302" t="s">
        <v>121</v>
      </c>
      <c r="AD13" s="301"/>
      <c r="AE13" s="301"/>
      <c r="AF13" s="303" t="s">
        <v>101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2.75">
      <c r="A14" s="5"/>
      <c r="B14" s="115" t="s">
        <v>123</v>
      </c>
      <c r="C14" s="222">
        <f>D14+E14+F14</f>
        <v>1168176</v>
      </c>
      <c r="D14" s="417">
        <f>531616-10666</f>
        <v>520950</v>
      </c>
      <c r="E14" s="438">
        <v>10666</v>
      </c>
      <c r="F14" s="426">
        <v>636560</v>
      </c>
      <c r="G14" s="416">
        <v>524227</v>
      </c>
      <c r="H14" s="416">
        <f>I14+M14+N14+O14+P14+Q14</f>
        <v>14851025</v>
      </c>
      <c r="I14" s="417">
        <f>J14+L14</f>
        <v>7937089</v>
      </c>
      <c r="J14" s="425">
        <v>7881488</v>
      </c>
      <c r="K14" s="426">
        <v>1872237</v>
      </c>
      <c r="L14" s="426">
        <v>55601</v>
      </c>
      <c r="M14" s="426">
        <v>2777982</v>
      </c>
      <c r="N14" s="425">
        <v>157631</v>
      </c>
      <c r="O14" s="426">
        <v>337235</v>
      </c>
      <c r="P14" s="416">
        <v>1527126</v>
      </c>
      <c r="Q14" s="416">
        <v>2113962</v>
      </c>
      <c r="R14" s="417">
        <f>Q14+S14</f>
        <v>3431477</v>
      </c>
      <c r="S14" s="427">
        <v>1317515</v>
      </c>
      <c r="T14" s="428">
        <v>0</v>
      </c>
      <c r="U14" s="418">
        <f>S14+H14</f>
        <v>16168540</v>
      </c>
      <c r="V14" s="417">
        <v>8070952</v>
      </c>
      <c r="W14" s="425">
        <v>1659699</v>
      </c>
      <c r="X14" s="305">
        <v>4620696</v>
      </c>
      <c r="Y14" s="375">
        <v>1817193</v>
      </c>
      <c r="Z14" s="325">
        <v>7203893</v>
      </c>
      <c r="AA14" s="305">
        <v>1318</v>
      </c>
      <c r="AB14" s="305">
        <v>1520</v>
      </c>
      <c r="AC14" s="305">
        <v>820</v>
      </c>
      <c r="AD14" s="305">
        <v>21160</v>
      </c>
      <c r="AE14" s="305">
        <v>1400</v>
      </c>
      <c r="AF14" s="326">
        <v>12780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57" customFormat="1" ht="12.75">
      <c r="A15" s="47"/>
      <c r="B15" s="415" t="s">
        <v>124</v>
      </c>
      <c r="C15" s="126"/>
      <c r="D15" s="125"/>
      <c r="E15" s="123"/>
      <c r="F15" s="122"/>
      <c r="G15" s="124"/>
      <c r="H15" s="124">
        <f>I15+M15+N15+O15+P15+Q15</f>
        <v>38382</v>
      </c>
      <c r="I15" s="125"/>
      <c r="J15" s="123"/>
      <c r="K15" s="122"/>
      <c r="L15" s="122"/>
      <c r="M15" s="122"/>
      <c r="N15" s="123"/>
      <c r="O15" s="122"/>
      <c r="P15" s="124"/>
      <c r="Q15" s="124">
        <v>38382</v>
      </c>
      <c r="R15" s="122">
        <f>Q15+S15</f>
        <v>125660</v>
      </c>
      <c r="S15" s="139">
        <v>87278</v>
      </c>
      <c r="T15" s="366"/>
      <c r="U15" s="314">
        <f>S15+H15</f>
        <v>125660</v>
      </c>
      <c r="V15" s="419">
        <v>125660</v>
      </c>
      <c r="W15" s="81"/>
      <c r="X15" s="81"/>
      <c r="Y15" s="376"/>
      <c r="Z15" s="80"/>
      <c r="AA15" s="81"/>
      <c r="AB15" s="81"/>
      <c r="AC15" s="81"/>
      <c r="AD15" s="81"/>
      <c r="AE15" s="81"/>
      <c r="AF15" s="30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</row>
    <row r="16" spans="1:46" ht="12.75">
      <c r="A16" s="5"/>
      <c r="B16" s="133" t="s">
        <v>35</v>
      </c>
      <c r="C16" s="222"/>
      <c r="D16" s="223"/>
      <c r="E16" s="226"/>
      <c r="F16" s="224"/>
      <c r="G16" s="225"/>
      <c r="H16" s="275">
        <v>0</v>
      </c>
      <c r="I16" s="274">
        <f>J16+L16</f>
        <v>0</v>
      </c>
      <c r="J16" s="224"/>
      <c r="K16" s="226"/>
      <c r="L16" s="226"/>
      <c r="M16" s="226"/>
      <c r="N16" s="224"/>
      <c r="O16" s="226"/>
      <c r="P16" s="225"/>
      <c r="Q16" s="225"/>
      <c r="R16" s="367">
        <f aca="true" t="shared" si="0" ref="R16:R28">Q16+S16</f>
        <v>0</v>
      </c>
      <c r="S16" s="227"/>
      <c r="T16" s="228"/>
      <c r="U16" s="315">
        <f>S16+H16</f>
        <v>0</v>
      </c>
      <c r="V16" s="325"/>
      <c r="W16" s="305"/>
      <c r="X16" s="305"/>
      <c r="Y16" s="375"/>
      <c r="Z16" s="325"/>
      <c r="AA16" s="305"/>
      <c r="AB16" s="305"/>
      <c r="AC16" s="305"/>
      <c r="AD16" s="305"/>
      <c r="AE16" s="305"/>
      <c r="AF16" s="32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2.75">
      <c r="A17" s="97">
        <v>3</v>
      </c>
      <c r="B17" s="164" t="s">
        <v>102</v>
      </c>
      <c r="C17" s="246"/>
      <c r="D17" s="243"/>
      <c r="E17" s="429"/>
      <c r="F17" s="247"/>
      <c r="G17" s="246"/>
      <c r="H17" s="248">
        <f aca="true" t="shared" si="1" ref="H17:H37">I17+M17+N17+O17+P17+Q17</f>
        <v>0</v>
      </c>
      <c r="I17" s="237">
        <f>J17+L17</f>
        <v>0</v>
      </c>
      <c r="J17" s="282"/>
      <c r="K17" s="368"/>
      <c r="L17" s="368"/>
      <c r="M17" s="368"/>
      <c r="N17" s="282"/>
      <c r="O17" s="368"/>
      <c r="P17" s="369"/>
      <c r="Q17" s="248"/>
      <c r="R17" s="237">
        <f t="shared" si="0"/>
        <v>0</v>
      </c>
      <c r="S17" s="246"/>
      <c r="T17" s="242"/>
      <c r="U17" s="308">
        <f>S17+H17</f>
        <v>0</v>
      </c>
      <c r="V17" s="243"/>
      <c r="W17" s="247"/>
      <c r="X17" s="247"/>
      <c r="Y17" s="377"/>
      <c r="Z17" s="397"/>
      <c r="AA17" s="247"/>
      <c r="AB17" s="247"/>
      <c r="AC17" s="247"/>
      <c r="AD17" s="327"/>
      <c r="AE17" s="327"/>
      <c r="AF17" s="240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12.75">
      <c r="A18" s="235"/>
      <c r="B18" s="164"/>
      <c r="C18" s="246"/>
      <c r="D18" s="243"/>
      <c r="E18" s="429"/>
      <c r="F18" s="247"/>
      <c r="G18" s="246"/>
      <c r="H18" s="370">
        <f t="shared" si="1"/>
        <v>0</v>
      </c>
      <c r="I18" s="311">
        <f>J18+L18</f>
        <v>0</v>
      </c>
      <c r="J18" s="371"/>
      <c r="K18" s="371"/>
      <c r="L18" s="371"/>
      <c r="M18" s="371"/>
      <c r="N18" s="371"/>
      <c r="O18" s="371"/>
      <c r="P18" s="372"/>
      <c r="Q18" s="290"/>
      <c r="R18" s="288">
        <f t="shared" si="0"/>
        <v>0</v>
      </c>
      <c r="S18" s="373"/>
      <c r="T18" s="244"/>
      <c r="U18" s="308">
        <f aca="true" t="shared" si="2" ref="U18:U28">S18+H18</f>
        <v>0</v>
      </c>
      <c r="V18" s="245"/>
      <c r="W18" s="249"/>
      <c r="X18" s="249"/>
      <c r="Y18" s="377"/>
      <c r="Z18" s="397"/>
      <c r="AA18" s="249"/>
      <c r="AB18" s="249"/>
      <c r="AC18" s="249"/>
      <c r="AD18" s="327"/>
      <c r="AE18" s="327"/>
      <c r="AF18" s="328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230" customFormat="1" ht="12.75">
      <c r="A19" s="221"/>
      <c r="B19" s="56"/>
      <c r="C19" s="253"/>
      <c r="D19" s="254"/>
      <c r="E19" s="430"/>
      <c r="F19" s="255"/>
      <c r="G19" s="253"/>
      <c r="H19" s="256">
        <f t="shared" si="1"/>
        <v>0</v>
      </c>
      <c r="I19" s="257">
        <f aca="true" t="shared" si="3" ref="I19:I28">J19+L19</f>
        <v>0</v>
      </c>
      <c r="J19" s="258"/>
      <c r="K19" s="258"/>
      <c r="L19" s="258"/>
      <c r="M19" s="258"/>
      <c r="N19" s="258"/>
      <c r="O19" s="258"/>
      <c r="P19" s="289"/>
      <c r="Q19" s="291"/>
      <c r="R19" s="259">
        <f t="shared" si="0"/>
        <v>0</v>
      </c>
      <c r="S19" s="238"/>
      <c r="T19" s="260"/>
      <c r="U19" s="308">
        <f t="shared" si="2"/>
        <v>0</v>
      </c>
      <c r="V19" s="254"/>
      <c r="W19" s="329"/>
      <c r="X19" s="329"/>
      <c r="Y19" s="378"/>
      <c r="Z19" s="398"/>
      <c r="AA19" s="255"/>
      <c r="AB19" s="329"/>
      <c r="AC19" s="329"/>
      <c r="AD19" s="330"/>
      <c r="AE19" s="330"/>
      <c r="AF19" s="331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</row>
    <row r="20" spans="1:46" ht="12.75">
      <c r="A20" s="278"/>
      <c r="B20" s="56"/>
      <c r="C20" s="251"/>
      <c r="D20" s="245"/>
      <c r="E20" s="431"/>
      <c r="F20" s="249"/>
      <c r="G20" s="251"/>
      <c r="H20" s="241">
        <f t="shared" si="1"/>
        <v>0</v>
      </c>
      <c r="I20" s="252">
        <f t="shared" si="3"/>
        <v>0</v>
      </c>
      <c r="J20" s="250"/>
      <c r="K20" s="250"/>
      <c r="L20" s="250"/>
      <c r="M20" s="250"/>
      <c r="N20" s="250"/>
      <c r="O20" s="250"/>
      <c r="P20" s="289"/>
      <c r="Q20" s="291"/>
      <c r="R20" s="237">
        <f t="shared" si="0"/>
        <v>0</v>
      </c>
      <c r="S20" s="238"/>
      <c r="T20" s="242"/>
      <c r="U20" s="308">
        <f t="shared" si="2"/>
        <v>0</v>
      </c>
      <c r="V20" s="245"/>
      <c r="W20" s="247"/>
      <c r="X20" s="247"/>
      <c r="Y20" s="377"/>
      <c r="Z20" s="397"/>
      <c r="AA20" s="249"/>
      <c r="AB20" s="247"/>
      <c r="AC20" s="247"/>
      <c r="AD20" s="327"/>
      <c r="AE20" s="327"/>
      <c r="AF20" s="328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2" ht="12.75">
      <c r="A21" s="129"/>
      <c r="B21" s="56"/>
      <c r="C21" s="251"/>
      <c r="D21" s="245"/>
      <c r="E21" s="431"/>
      <c r="F21" s="249"/>
      <c r="G21" s="251"/>
      <c r="H21" s="241">
        <f t="shared" si="1"/>
        <v>0</v>
      </c>
      <c r="I21" s="252">
        <f t="shared" si="3"/>
        <v>0</v>
      </c>
      <c r="J21" s="250"/>
      <c r="K21" s="250"/>
      <c r="L21" s="250"/>
      <c r="M21" s="250"/>
      <c r="N21" s="250"/>
      <c r="O21" s="250"/>
      <c r="P21" s="289"/>
      <c r="Q21" s="291"/>
      <c r="R21" s="237">
        <f t="shared" si="0"/>
        <v>0</v>
      </c>
      <c r="S21" s="238"/>
      <c r="T21" s="242"/>
      <c r="U21" s="308">
        <f t="shared" si="2"/>
        <v>0</v>
      </c>
      <c r="V21" s="245"/>
      <c r="W21" s="247"/>
      <c r="X21" s="332"/>
      <c r="Y21" s="379"/>
      <c r="Z21" s="399"/>
      <c r="AA21" s="249"/>
      <c r="AB21" s="247"/>
      <c r="AC21" s="332"/>
      <c r="AD21" s="333"/>
      <c r="AE21" s="333"/>
      <c r="AF21" s="328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196"/>
      <c r="B22" s="56"/>
      <c r="C22" s="251"/>
      <c r="D22" s="245"/>
      <c r="E22" s="431"/>
      <c r="F22" s="249"/>
      <c r="G22" s="251"/>
      <c r="H22" s="241">
        <f t="shared" si="1"/>
        <v>0</v>
      </c>
      <c r="I22" s="252">
        <f t="shared" si="3"/>
        <v>0</v>
      </c>
      <c r="J22" s="249"/>
      <c r="K22" s="249"/>
      <c r="L22" s="250"/>
      <c r="M22" s="249"/>
      <c r="N22" s="249"/>
      <c r="O22" s="249"/>
      <c r="P22" s="289"/>
      <c r="Q22" s="291"/>
      <c r="R22" s="311">
        <f t="shared" si="0"/>
        <v>0</v>
      </c>
      <c r="S22" s="238"/>
      <c r="T22" s="242"/>
      <c r="U22" s="308">
        <f t="shared" si="2"/>
        <v>0</v>
      </c>
      <c r="V22" s="245"/>
      <c r="W22" s="247"/>
      <c r="X22" s="247"/>
      <c r="Y22" s="377"/>
      <c r="Z22" s="399"/>
      <c r="AA22" s="249"/>
      <c r="AB22" s="247"/>
      <c r="AC22" s="247"/>
      <c r="AD22" s="327"/>
      <c r="AE22" s="327"/>
      <c r="AF22" s="328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97"/>
      <c r="B23" s="56"/>
      <c r="C23" s="241"/>
      <c r="D23" s="252"/>
      <c r="E23" s="264"/>
      <c r="F23" s="261"/>
      <c r="G23" s="241"/>
      <c r="H23" s="241">
        <f t="shared" si="1"/>
        <v>0</v>
      </c>
      <c r="I23" s="252">
        <f t="shared" si="3"/>
        <v>0</v>
      </c>
      <c r="J23" s="236"/>
      <c r="K23" s="236"/>
      <c r="L23" s="236"/>
      <c r="M23" s="236"/>
      <c r="N23" s="236"/>
      <c r="O23" s="236"/>
      <c r="P23" s="292"/>
      <c r="Q23" s="291"/>
      <c r="R23" s="237">
        <f t="shared" si="0"/>
        <v>0</v>
      </c>
      <c r="S23" s="263"/>
      <c r="T23" s="262"/>
      <c r="U23" s="308">
        <f t="shared" si="2"/>
        <v>0</v>
      </c>
      <c r="V23" s="252"/>
      <c r="W23" s="261"/>
      <c r="X23" s="261"/>
      <c r="Y23" s="377"/>
      <c r="Z23" s="399"/>
      <c r="AA23" s="261"/>
      <c r="AB23" s="261"/>
      <c r="AC23" s="261"/>
      <c r="AD23" s="327"/>
      <c r="AE23" s="327"/>
      <c r="AF23" s="33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279"/>
      <c r="B24" s="164"/>
      <c r="C24" s="241"/>
      <c r="D24" s="264"/>
      <c r="E24" s="264"/>
      <c r="F24" s="261"/>
      <c r="G24" s="241"/>
      <c r="H24" s="362">
        <f>I24+M24+N24+O24+P24+Q24</f>
        <v>0</v>
      </c>
      <c r="I24" s="252">
        <f t="shared" si="3"/>
        <v>0</v>
      </c>
      <c r="J24" s="250"/>
      <c r="K24" s="250"/>
      <c r="L24" s="250"/>
      <c r="M24" s="250"/>
      <c r="N24" s="250"/>
      <c r="O24" s="250"/>
      <c r="P24" s="289"/>
      <c r="Q24" s="290"/>
      <c r="R24" s="363">
        <f t="shared" si="0"/>
        <v>0</v>
      </c>
      <c r="S24" s="364"/>
      <c r="T24" s="262"/>
      <c r="U24" s="308">
        <f t="shared" si="2"/>
        <v>0</v>
      </c>
      <c r="V24" s="252"/>
      <c r="W24" s="261"/>
      <c r="X24" s="261"/>
      <c r="Y24" s="377"/>
      <c r="Z24" s="399"/>
      <c r="AA24" s="261"/>
      <c r="AB24" s="261"/>
      <c r="AC24" s="261"/>
      <c r="AD24" s="327"/>
      <c r="AE24" s="327"/>
      <c r="AF24" s="33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2.75">
      <c r="A25" s="129"/>
      <c r="B25" s="56"/>
      <c r="C25" s="65"/>
      <c r="D25" s="68"/>
      <c r="E25" s="68"/>
      <c r="F25" s="67"/>
      <c r="G25" s="65"/>
      <c r="H25" s="65">
        <f>I25+M25+N25+O25+P25+Q25</f>
        <v>0</v>
      </c>
      <c r="I25" s="66">
        <f t="shared" si="3"/>
        <v>0</v>
      </c>
      <c r="J25" s="189"/>
      <c r="K25" s="189"/>
      <c r="L25" s="189"/>
      <c r="M25" s="189"/>
      <c r="N25" s="189"/>
      <c r="O25" s="189"/>
      <c r="P25" s="67"/>
      <c r="Q25" s="101"/>
      <c r="R25" s="100">
        <f t="shared" si="0"/>
        <v>0</v>
      </c>
      <c r="S25" s="212"/>
      <c r="T25" s="156"/>
      <c r="U25" s="308">
        <f t="shared" si="2"/>
        <v>0</v>
      </c>
      <c r="V25" s="66"/>
      <c r="W25" s="67"/>
      <c r="X25" s="67"/>
      <c r="Y25" s="380"/>
      <c r="Z25" s="206"/>
      <c r="AA25" s="67"/>
      <c r="AB25" s="67"/>
      <c r="AC25" s="67"/>
      <c r="AD25" s="284"/>
      <c r="AE25" s="284"/>
      <c r="AF25" s="172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2.75">
      <c r="A26" s="280"/>
      <c r="B26" s="56"/>
      <c r="C26" s="65"/>
      <c r="D26" s="68"/>
      <c r="E26" s="68"/>
      <c r="F26" s="67"/>
      <c r="G26" s="65"/>
      <c r="H26" s="362">
        <f>I26+M26+N26+O26+P26+Q26</f>
        <v>0</v>
      </c>
      <c r="I26" s="66">
        <f t="shared" si="3"/>
        <v>0</v>
      </c>
      <c r="J26" s="189"/>
      <c r="K26" s="189"/>
      <c r="L26" s="189"/>
      <c r="M26" s="189"/>
      <c r="N26" s="189"/>
      <c r="O26" s="189"/>
      <c r="P26" s="67"/>
      <c r="Q26" s="290"/>
      <c r="R26" s="363">
        <f t="shared" si="0"/>
        <v>0</v>
      </c>
      <c r="S26" s="365"/>
      <c r="T26" s="156"/>
      <c r="U26" s="308">
        <f t="shared" si="2"/>
        <v>0</v>
      </c>
      <c r="V26" s="66"/>
      <c r="W26" s="67"/>
      <c r="X26" s="67"/>
      <c r="Y26" s="380"/>
      <c r="Z26" s="206"/>
      <c r="AA26" s="67"/>
      <c r="AB26" s="67"/>
      <c r="AC26" s="67"/>
      <c r="AD26" s="284"/>
      <c r="AE26" s="284"/>
      <c r="AF26" s="172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2.75">
      <c r="A27" s="279"/>
      <c r="B27" s="56"/>
      <c r="C27" s="64"/>
      <c r="D27" s="67"/>
      <c r="E27" s="67"/>
      <c r="F27" s="67"/>
      <c r="G27" s="64"/>
      <c r="H27" s="362">
        <f t="shared" si="1"/>
        <v>0</v>
      </c>
      <c r="I27" s="66">
        <f t="shared" si="3"/>
        <v>0</v>
      </c>
      <c r="J27" s="189"/>
      <c r="K27" s="67"/>
      <c r="L27" s="189"/>
      <c r="M27" s="189"/>
      <c r="N27" s="189"/>
      <c r="O27" s="189"/>
      <c r="P27" s="67"/>
      <c r="Q27" s="290"/>
      <c r="R27" s="363">
        <f t="shared" si="0"/>
        <v>0</v>
      </c>
      <c r="S27" s="365"/>
      <c r="T27" s="188"/>
      <c r="U27" s="308">
        <f t="shared" si="2"/>
        <v>0</v>
      </c>
      <c r="V27" s="66"/>
      <c r="W27" s="67"/>
      <c r="X27" s="67"/>
      <c r="Y27" s="380"/>
      <c r="Z27" s="206"/>
      <c r="AA27" s="67"/>
      <c r="AB27" s="67"/>
      <c r="AC27" s="67"/>
      <c r="AD27" s="284"/>
      <c r="AE27" s="284"/>
      <c r="AF27" s="172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3.5" thickBot="1">
      <c r="A28" s="152"/>
      <c r="B28" s="56"/>
      <c r="C28" s="130"/>
      <c r="D28" s="131"/>
      <c r="E28" s="432"/>
      <c r="F28" s="153"/>
      <c r="G28" s="132"/>
      <c r="H28" s="65">
        <f t="shared" si="1"/>
        <v>0</v>
      </c>
      <c r="I28" s="273">
        <f t="shared" si="3"/>
        <v>0</v>
      </c>
      <c r="J28" s="153"/>
      <c r="K28" s="153"/>
      <c r="L28" s="281"/>
      <c r="M28" s="281"/>
      <c r="N28" s="153"/>
      <c r="O28" s="153"/>
      <c r="P28" s="312"/>
      <c r="Q28" s="312"/>
      <c r="R28" s="100">
        <f t="shared" si="0"/>
        <v>0</v>
      </c>
      <c r="S28" s="313"/>
      <c r="T28" s="216"/>
      <c r="U28" s="308">
        <f t="shared" si="2"/>
        <v>0</v>
      </c>
      <c r="V28" s="154"/>
      <c r="W28" s="335"/>
      <c r="X28" s="335"/>
      <c r="Y28" s="381"/>
      <c r="Z28" s="400"/>
      <c r="AA28" s="153"/>
      <c r="AB28" s="335"/>
      <c r="AC28" s="335"/>
      <c r="AD28" s="335"/>
      <c r="AE28" s="335"/>
      <c r="AF28" s="336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7.25" customHeight="1" thickBot="1">
      <c r="A29" s="157"/>
      <c r="B29" s="34" t="s">
        <v>36</v>
      </c>
      <c r="C29" s="90">
        <f>D29+F29</f>
        <v>0</v>
      </c>
      <c r="D29" s="91">
        <f>SUM(D19:D23)</f>
        <v>0</v>
      </c>
      <c r="E29" s="91"/>
      <c r="F29" s="91">
        <f>SUM(F19:F23)</f>
        <v>0</v>
      </c>
      <c r="G29" s="138">
        <f>SUM(G19:G23)</f>
        <v>0</v>
      </c>
      <c r="H29" s="92">
        <f>I29+M29+N29+O29+P29+Q29</f>
        <v>0</v>
      </c>
      <c r="I29" s="91">
        <f>SUM(I17:I28)</f>
        <v>0</v>
      </c>
      <c r="J29" s="91">
        <f aca="true" t="shared" si="4" ref="J29:Q29">SUM(J17:J28)</f>
        <v>0</v>
      </c>
      <c r="K29" s="91">
        <f t="shared" si="4"/>
        <v>0</v>
      </c>
      <c r="L29" s="91">
        <f t="shared" si="4"/>
        <v>0</v>
      </c>
      <c r="M29" s="91">
        <f t="shared" si="4"/>
        <v>0</v>
      </c>
      <c r="N29" s="91">
        <f t="shared" si="4"/>
        <v>0</v>
      </c>
      <c r="O29" s="91">
        <f t="shared" si="4"/>
        <v>0</v>
      </c>
      <c r="P29" s="91">
        <f t="shared" si="4"/>
        <v>0</v>
      </c>
      <c r="Q29" s="91">
        <f t="shared" si="4"/>
        <v>0</v>
      </c>
      <c r="R29" s="91">
        <f aca="true" t="shared" si="5" ref="R29:AF29">SUM(R17:R27)</f>
        <v>0</v>
      </c>
      <c r="S29" s="138">
        <f t="shared" si="5"/>
        <v>0</v>
      </c>
      <c r="T29" s="92">
        <f t="shared" si="5"/>
        <v>0</v>
      </c>
      <c r="U29" s="316">
        <f>SUM(U17:U28)</f>
        <v>0</v>
      </c>
      <c r="V29" s="197">
        <f t="shared" si="5"/>
        <v>0</v>
      </c>
      <c r="W29" s="140">
        <f t="shared" si="5"/>
        <v>0</v>
      </c>
      <c r="X29" s="140">
        <f t="shared" si="5"/>
        <v>0</v>
      </c>
      <c r="Y29" s="382">
        <f t="shared" si="5"/>
        <v>0</v>
      </c>
      <c r="Z29" s="401">
        <f>SUM(Z17:Z28)</f>
        <v>0</v>
      </c>
      <c r="AA29" s="140">
        <f t="shared" si="5"/>
        <v>0</v>
      </c>
      <c r="AB29" s="140">
        <f t="shared" si="5"/>
        <v>0</v>
      </c>
      <c r="AC29" s="140">
        <f t="shared" si="5"/>
        <v>0</v>
      </c>
      <c r="AD29" s="283">
        <f t="shared" si="5"/>
        <v>0</v>
      </c>
      <c r="AE29" s="283">
        <f t="shared" si="5"/>
        <v>0</v>
      </c>
      <c r="AF29" s="337">
        <f t="shared" si="5"/>
        <v>0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3.5" hidden="1" thickBot="1">
      <c r="A30" s="205">
        <v>1</v>
      </c>
      <c r="B30" s="158" t="s">
        <v>53</v>
      </c>
      <c r="C30" s="158"/>
      <c r="D30" s="159"/>
      <c r="E30" s="433"/>
      <c r="F30" s="160"/>
      <c r="G30" s="161"/>
      <c r="H30" s="162">
        <f t="shared" si="1"/>
        <v>0</v>
      </c>
      <c r="I30" s="163"/>
      <c r="J30" s="160"/>
      <c r="K30" s="160"/>
      <c r="L30" s="160"/>
      <c r="M30" s="160"/>
      <c r="N30" s="67"/>
      <c r="O30" s="67"/>
      <c r="P30" s="149"/>
      <c r="Q30" s="149"/>
      <c r="R30" s="103">
        <f>Q30+S30</f>
        <v>0</v>
      </c>
      <c r="S30" s="155"/>
      <c r="T30" s="188"/>
      <c r="U30" s="317">
        <f aca="true" t="shared" si="6" ref="U30:U37">S30+H30</f>
        <v>0</v>
      </c>
      <c r="V30" s="66"/>
      <c r="W30" s="67"/>
      <c r="X30" s="67"/>
      <c r="Y30" s="380"/>
      <c r="Z30" s="402"/>
      <c r="AA30" s="67"/>
      <c r="AB30" s="67"/>
      <c r="AC30" s="67"/>
      <c r="AD30" s="284"/>
      <c r="AE30" s="284"/>
      <c r="AF30" s="172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3.5" hidden="1" thickBot="1">
      <c r="A31" s="49">
        <v>3</v>
      </c>
      <c r="B31" s="56" t="s">
        <v>54</v>
      </c>
      <c r="C31" s="65"/>
      <c r="D31" s="68"/>
      <c r="E31" s="68"/>
      <c r="F31" s="68"/>
      <c r="G31" s="65"/>
      <c r="H31" s="65">
        <f t="shared" si="1"/>
        <v>0</v>
      </c>
      <c r="I31" s="68"/>
      <c r="J31" s="68"/>
      <c r="K31" s="68"/>
      <c r="L31" s="68"/>
      <c r="M31" s="68"/>
      <c r="N31" s="68"/>
      <c r="O31" s="68"/>
      <c r="P31" s="65"/>
      <c r="Q31" s="65"/>
      <c r="R31" s="103">
        <f>Q31+S31</f>
        <v>0</v>
      </c>
      <c r="S31" s="211"/>
      <c r="T31" s="73"/>
      <c r="U31" s="195">
        <f t="shared" si="6"/>
        <v>0</v>
      </c>
      <c r="V31" s="66"/>
      <c r="W31" s="67"/>
      <c r="X31" s="67"/>
      <c r="Y31" s="380"/>
      <c r="Z31" s="402"/>
      <c r="AA31" s="67"/>
      <c r="AB31" s="67"/>
      <c r="AC31" s="67"/>
      <c r="AD31" s="284"/>
      <c r="AE31" s="284"/>
      <c r="AF31" s="172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3.5" hidden="1" thickBot="1">
      <c r="A32" s="49">
        <v>3</v>
      </c>
      <c r="B32" s="56" t="s">
        <v>55</v>
      </c>
      <c r="C32" s="65"/>
      <c r="D32" s="68"/>
      <c r="E32" s="68"/>
      <c r="F32" s="68"/>
      <c r="G32" s="65"/>
      <c r="H32" s="65">
        <f t="shared" si="1"/>
        <v>0</v>
      </c>
      <c r="I32" s="68"/>
      <c r="J32" s="68"/>
      <c r="K32" s="68"/>
      <c r="L32" s="68"/>
      <c r="M32" s="68"/>
      <c r="N32" s="68"/>
      <c r="O32" s="68"/>
      <c r="P32" s="65"/>
      <c r="Q32" s="65"/>
      <c r="R32" s="66">
        <f>Q32+S32</f>
        <v>0</v>
      </c>
      <c r="S32" s="212"/>
      <c r="T32" s="73"/>
      <c r="U32" s="195">
        <f t="shared" si="6"/>
        <v>0</v>
      </c>
      <c r="V32" s="66"/>
      <c r="W32" s="67"/>
      <c r="X32" s="67"/>
      <c r="Y32" s="383"/>
      <c r="Z32" s="198"/>
      <c r="AA32" s="67"/>
      <c r="AB32" s="67"/>
      <c r="AC32" s="67"/>
      <c r="AD32" s="190"/>
      <c r="AE32" s="190"/>
      <c r="AF32" s="172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3.5" hidden="1" thickBot="1">
      <c r="A33" s="49">
        <v>3</v>
      </c>
      <c r="B33" s="56" t="s">
        <v>56</v>
      </c>
      <c r="C33" s="65"/>
      <c r="D33" s="68"/>
      <c r="E33" s="68"/>
      <c r="F33" s="68"/>
      <c r="G33" s="65"/>
      <c r="H33" s="65">
        <f t="shared" si="1"/>
        <v>0</v>
      </c>
      <c r="I33" s="68"/>
      <c r="J33" s="68"/>
      <c r="K33" s="68"/>
      <c r="L33" s="68"/>
      <c r="M33" s="68"/>
      <c r="N33" s="68"/>
      <c r="O33" s="68"/>
      <c r="P33" s="65"/>
      <c r="Q33" s="65"/>
      <c r="R33" s="66">
        <f>Q33+S33</f>
        <v>0</v>
      </c>
      <c r="S33" s="212"/>
      <c r="T33" s="73"/>
      <c r="U33" s="195">
        <f t="shared" si="6"/>
        <v>0</v>
      </c>
      <c r="V33" s="66"/>
      <c r="W33" s="67"/>
      <c r="X33" s="67"/>
      <c r="Y33" s="383"/>
      <c r="Z33" s="198"/>
      <c r="AA33" s="67"/>
      <c r="AB33" s="67"/>
      <c r="AC33" s="67"/>
      <c r="AD33" s="190"/>
      <c r="AE33" s="190"/>
      <c r="AF33" s="172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3.5" hidden="1" thickBot="1">
      <c r="A34" s="97">
        <v>3</v>
      </c>
      <c r="B34" s="165" t="s">
        <v>57</v>
      </c>
      <c r="C34" s="98"/>
      <c r="D34" s="99"/>
      <c r="E34" s="99"/>
      <c r="F34" s="99"/>
      <c r="G34" s="98"/>
      <c r="H34" s="65">
        <f t="shared" si="1"/>
        <v>0</v>
      </c>
      <c r="I34" s="99"/>
      <c r="J34" s="99"/>
      <c r="K34" s="99"/>
      <c r="L34" s="99"/>
      <c r="M34" s="99"/>
      <c r="N34" s="99"/>
      <c r="O34" s="99"/>
      <c r="P34" s="98"/>
      <c r="Q34" s="98"/>
      <c r="R34" s="100">
        <f>Q34+S34</f>
        <v>0</v>
      </c>
      <c r="S34" s="211"/>
      <c r="T34" s="73"/>
      <c r="U34" s="195">
        <f t="shared" si="6"/>
        <v>0</v>
      </c>
      <c r="V34" s="100"/>
      <c r="W34" s="310"/>
      <c r="X34" s="310"/>
      <c r="Y34" s="380"/>
      <c r="Z34" s="402"/>
      <c r="AA34" s="310"/>
      <c r="AB34" s="310"/>
      <c r="AC34" s="310"/>
      <c r="AD34" s="284"/>
      <c r="AE34" s="284"/>
      <c r="AF34" s="17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3.5" hidden="1" thickBot="1">
      <c r="A35" s="207">
        <v>1</v>
      </c>
      <c r="B35" s="165" t="s">
        <v>58</v>
      </c>
      <c r="C35" s="98"/>
      <c r="D35" s="99"/>
      <c r="E35" s="99"/>
      <c r="F35" s="99"/>
      <c r="G35" s="98"/>
      <c r="H35" s="98">
        <f t="shared" si="1"/>
        <v>0</v>
      </c>
      <c r="I35" s="99"/>
      <c r="J35" s="99"/>
      <c r="K35" s="99"/>
      <c r="L35" s="99"/>
      <c r="M35" s="99"/>
      <c r="N35" s="99"/>
      <c r="O35" s="99"/>
      <c r="P35" s="98"/>
      <c r="Q35" s="98"/>
      <c r="R35" s="100">
        <f aca="true" t="shared" si="7" ref="R35:R42">Q35+S35</f>
        <v>0</v>
      </c>
      <c r="S35" s="211"/>
      <c r="T35" s="101"/>
      <c r="U35" s="309">
        <f t="shared" si="6"/>
        <v>0</v>
      </c>
      <c r="V35" s="100"/>
      <c r="W35" s="310"/>
      <c r="X35" s="310"/>
      <c r="Y35" s="380"/>
      <c r="Z35" s="402"/>
      <c r="AA35" s="310"/>
      <c r="AB35" s="310"/>
      <c r="AC35" s="310"/>
      <c r="AD35" s="284"/>
      <c r="AE35" s="284"/>
      <c r="AF35" s="17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3.5" hidden="1" thickBot="1">
      <c r="A36" s="102">
        <v>3</v>
      </c>
      <c r="B36" s="165" t="s">
        <v>59</v>
      </c>
      <c r="C36" s="98"/>
      <c r="D36" s="99"/>
      <c r="E36" s="99"/>
      <c r="F36" s="99"/>
      <c r="G36" s="98"/>
      <c r="H36" s="98">
        <f t="shared" si="1"/>
        <v>0</v>
      </c>
      <c r="I36" s="99"/>
      <c r="J36" s="99"/>
      <c r="K36" s="99"/>
      <c r="L36" s="99"/>
      <c r="M36" s="99"/>
      <c r="N36" s="99"/>
      <c r="O36" s="99"/>
      <c r="P36" s="98"/>
      <c r="Q36" s="98"/>
      <c r="R36" s="100">
        <f t="shared" si="7"/>
        <v>0</v>
      </c>
      <c r="S36" s="211"/>
      <c r="T36" s="101"/>
      <c r="U36" s="309">
        <f t="shared" si="6"/>
        <v>0</v>
      </c>
      <c r="V36" s="100"/>
      <c r="W36" s="310"/>
      <c r="X36" s="310"/>
      <c r="Y36" s="380"/>
      <c r="Z36" s="402"/>
      <c r="AA36" s="310"/>
      <c r="AB36" s="310"/>
      <c r="AC36" s="310"/>
      <c r="AD36" s="284"/>
      <c r="AE36" s="284"/>
      <c r="AF36" s="17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3.5" hidden="1" thickBot="1">
      <c r="A37" s="102">
        <v>3</v>
      </c>
      <c r="B37" s="165" t="s">
        <v>60</v>
      </c>
      <c r="C37" s="98"/>
      <c r="D37" s="99"/>
      <c r="E37" s="99"/>
      <c r="F37" s="99"/>
      <c r="G37" s="98"/>
      <c r="H37" s="98">
        <f t="shared" si="1"/>
        <v>0</v>
      </c>
      <c r="I37" s="99"/>
      <c r="J37" s="99"/>
      <c r="K37" s="99"/>
      <c r="L37" s="99"/>
      <c r="M37" s="99"/>
      <c r="N37" s="99"/>
      <c r="O37" s="99"/>
      <c r="P37" s="98"/>
      <c r="Q37" s="98"/>
      <c r="R37" s="100">
        <f t="shared" si="7"/>
        <v>0</v>
      </c>
      <c r="S37" s="211"/>
      <c r="T37" s="101"/>
      <c r="U37" s="309">
        <f t="shared" si="6"/>
        <v>0</v>
      </c>
      <c r="V37" s="100"/>
      <c r="W37" s="310"/>
      <c r="X37" s="310"/>
      <c r="Y37" s="380"/>
      <c r="Z37" s="402"/>
      <c r="AA37" s="310"/>
      <c r="AB37" s="310"/>
      <c r="AC37" s="310"/>
      <c r="AD37" s="284"/>
      <c r="AE37" s="284"/>
      <c r="AF37" s="17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3.5" hidden="1" thickBot="1">
      <c r="A38" s="102"/>
      <c r="B38" s="165"/>
      <c r="C38" s="98"/>
      <c r="D38" s="99"/>
      <c r="E38" s="99"/>
      <c r="F38" s="99"/>
      <c r="G38" s="98"/>
      <c r="H38" s="98"/>
      <c r="I38" s="99"/>
      <c r="J38" s="99"/>
      <c r="K38" s="99"/>
      <c r="L38" s="99"/>
      <c r="M38" s="99"/>
      <c r="N38" s="99"/>
      <c r="O38" s="99"/>
      <c r="P38" s="98"/>
      <c r="Q38" s="98"/>
      <c r="R38" s="100">
        <f t="shared" si="7"/>
        <v>0</v>
      </c>
      <c r="S38" s="211"/>
      <c r="T38" s="101"/>
      <c r="U38" s="309"/>
      <c r="V38" s="100"/>
      <c r="W38" s="310"/>
      <c r="X38" s="310"/>
      <c r="Y38" s="380"/>
      <c r="Z38" s="402"/>
      <c r="AA38" s="310"/>
      <c r="AB38" s="310"/>
      <c r="AC38" s="310"/>
      <c r="AD38" s="284"/>
      <c r="AE38" s="284"/>
      <c r="AF38" s="17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3.5" hidden="1" thickBot="1">
      <c r="A39" s="102"/>
      <c r="B39" s="165"/>
      <c r="C39" s="98"/>
      <c r="D39" s="99"/>
      <c r="E39" s="99"/>
      <c r="F39" s="99"/>
      <c r="G39" s="98"/>
      <c r="H39" s="98"/>
      <c r="I39" s="99"/>
      <c r="J39" s="99"/>
      <c r="K39" s="99"/>
      <c r="L39" s="99"/>
      <c r="M39" s="99"/>
      <c r="N39" s="99"/>
      <c r="O39" s="99"/>
      <c r="P39" s="98"/>
      <c r="Q39" s="98"/>
      <c r="R39" s="100">
        <f t="shared" si="7"/>
        <v>0</v>
      </c>
      <c r="S39" s="211"/>
      <c r="T39" s="101"/>
      <c r="U39" s="309"/>
      <c r="V39" s="100"/>
      <c r="W39" s="310"/>
      <c r="X39" s="310"/>
      <c r="Y39" s="380"/>
      <c r="Z39" s="402"/>
      <c r="AA39" s="310"/>
      <c r="AB39" s="310"/>
      <c r="AC39" s="310"/>
      <c r="AD39" s="284"/>
      <c r="AE39" s="284"/>
      <c r="AF39" s="17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3.5" hidden="1" thickBot="1">
      <c r="A40" s="102"/>
      <c r="B40" s="165"/>
      <c r="C40" s="98"/>
      <c r="D40" s="99"/>
      <c r="E40" s="99"/>
      <c r="F40" s="99"/>
      <c r="G40" s="98"/>
      <c r="H40" s="98"/>
      <c r="I40" s="99"/>
      <c r="J40" s="99"/>
      <c r="K40" s="99"/>
      <c r="L40" s="99"/>
      <c r="M40" s="99"/>
      <c r="N40" s="99"/>
      <c r="O40" s="99"/>
      <c r="P40" s="98"/>
      <c r="Q40" s="98"/>
      <c r="R40" s="100">
        <f t="shared" si="7"/>
        <v>0</v>
      </c>
      <c r="S40" s="211"/>
      <c r="T40" s="101"/>
      <c r="U40" s="309"/>
      <c r="V40" s="100"/>
      <c r="W40" s="310"/>
      <c r="X40" s="310"/>
      <c r="Y40" s="380"/>
      <c r="Z40" s="402"/>
      <c r="AA40" s="310"/>
      <c r="AB40" s="310"/>
      <c r="AC40" s="310"/>
      <c r="AD40" s="284"/>
      <c r="AE40" s="284"/>
      <c r="AF40" s="17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3.5" hidden="1" thickBot="1">
      <c r="A41" s="102"/>
      <c r="B41" s="165"/>
      <c r="C41" s="98"/>
      <c r="D41" s="99"/>
      <c r="E41" s="99"/>
      <c r="F41" s="99"/>
      <c r="G41" s="98"/>
      <c r="H41" s="98"/>
      <c r="I41" s="99"/>
      <c r="J41" s="99"/>
      <c r="K41" s="99"/>
      <c r="L41" s="99"/>
      <c r="M41" s="99"/>
      <c r="N41" s="99"/>
      <c r="O41" s="99"/>
      <c r="P41" s="98"/>
      <c r="Q41" s="98"/>
      <c r="R41" s="100">
        <f t="shared" si="7"/>
        <v>0</v>
      </c>
      <c r="S41" s="211"/>
      <c r="T41" s="101"/>
      <c r="U41" s="309"/>
      <c r="V41" s="100"/>
      <c r="W41" s="310"/>
      <c r="X41" s="310"/>
      <c r="Y41" s="380"/>
      <c r="Z41" s="402"/>
      <c r="AA41" s="310"/>
      <c r="AB41" s="310"/>
      <c r="AC41" s="310"/>
      <c r="AD41" s="284"/>
      <c r="AE41" s="284"/>
      <c r="AF41" s="17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3.5" hidden="1" thickBot="1">
      <c r="A42" s="102"/>
      <c r="B42" s="165"/>
      <c r="C42" s="98"/>
      <c r="D42" s="99"/>
      <c r="E42" s="99"/>
      <c r="F42" s="99"/>
      <c r="G42" s="98"/>
      <c r="H42" s="98">
        <f>I42+M42+N42+O42+P42</f>
        <v>0</v>
      </c>
      <c r="I42" s="99"/>
      <c r="J42" s="99"/>
      <c r="K42" s="99"/>
      <c r="L42" s="99"/>
      <c r="M42" s="99"/>
      <c r="N42" s="99"/>
      <c r="O42" s="99"/>
      <c r="P42" s="98"/>
      <c r="Q42" s="98"/>
      <c r="R42" s="100">
        <f t="shared" si="7"/>
        <v>0</v>
      </c>
      <c r="S42" s="211"/>
      <c r="T42" s="101"/>
      <c r="U42" s="309">
        <f>H42+S42</f>
        <v>0</v>
      </c>
      <c r="V42" s="100"/>
      <c r="W42" s="310"/>
      <c r="X42" s="310"/>
      <c r="Y42" s="380"/>
      <c r="Z42" s="402"/>
      <c r="AA42" s="310"/>
      <c r="AB42" s="310"/>
      <c r="AC42" s="310"/>
      <c r="AD42" s="284"/>
      <c r="AE42" s="284"/>
      <c r="AF42" s="17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3.5" hidden="1" thickBot="1">
      <c r="A43" s="116"/>
      <c r="B43" s="34" t="s">
        <v>37</v>
      </c>
      <c r="C43" s="90">
        <f aca="true" t="shared" si="8" ref="C43:T43">SUM(C30:C42)</f>
        <v>0</v>
      </c>
      <c r="D43" s="91">
        <f t="shared" si="8"/>
        <v>0</v>
      </c>
      <c r="E43" s="91"/>
      <c r="F43" s="91">
        <f t="shared" si="8"/>
        <v>0</v>
      </c>
      <c r="G43" s="90">
        <f t="shared" si="8"/>
        <v>0</v>
      </c>
      <c r="H43" s="90">
        <f t="shared" si="8"/>
        <v>0</v>
      </c>
      <c r="I43" s="91">
        <f t="shared" si="8"/>
        <v>0</v>
      </c>
      <c r="J43" s="91">
        <f t="shared" si="8"/>
        <v>0</v>
      </c>
      <c r="K43" s="91"/>
      <c r="L43" s="91">
        <f t="shared" si="8"/>
        <v>0</v>
      </c>
      <c r="M43" s="91">
        <f t="shared" si="8"/>
        <v>0</v>
      </c>
      <c r="N43" s="91">
        <f t="shared" si="8"/>
        <v>0</v>
      </c>
      <c r="O43" s="91">
        <f t="shared" si="8"/>
        <v>0</v>
      </c>
      <c r="P43" s="90">
        <f t="shared" si="8"/>
        <v>0</v>
      </c>
      <c r="Q43" s="90">
        <f t="shared" si="8"/>
        <v>0</v>
      </c>
      <c r="R43" s="197">
        <f t="shared" si="8"/>
        <v>0</v>
      </c>
      <c r="S43" s="138">
        <f t="shared" si="8"/>
        <v>0</v>
      </c>
      <c r="T43" s="92">
        <f t="shared" si="8"/>
        <v>0</v>
      </c>
      <c r="U43" s="316">
        <f>S43+H43</f>
        <v>0</v>
      </c>
      <c r="V43" s="197">
        <f>SUM(V30:V42)</f>
        <v>0</v>
      </c>
      <c r="W43" s="140">
        <f>SUM(W30:W42)</f>
        <v>0</v>
      </c>
      <c r="X43" s="140"/>
      <c r="Y43" s="382">
        <f>SUM(Y30:Y42)</f>
        <v>0</v>
      </c>
      <c r="Z43" s="401"/>
      <c r="AA43" s="140"/>
      <c r="AB43" s="140"/>
      <c r="AC43" s="140"/>
      <c r="AD43" s="283"/>
      <c r="AE43" s="283"/>
      <c r="AF43" s="337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3.5" hidden="1" thickBot="1">
      <c r="A44" s="104">
        <v>3</v>
      </c>
      <c r="B44" s="158" t="s">
        <v>61</v>
      </c>
      <c r="C44" s="105">
        <f>D44+F44</f>
        <v>0</v>
      </c>
      <c r="D44" s="106"/>
      <c r="E44" s="106"/>
      <c r="F44" s="106"/>
      <c r="G44" s="105"/>
      <c r="H44" s="105">
        <f aca="true" t="shared" si="9" ref="H44:H55">I44+M44+N44+O44+P44+Q44</f>
        <v>0</v>
      </c>
      <c r="I44" s="106">
        <f>J44+L44</f>
        <v>0</v>
      </c>
      <c r="J44" s="106"/>
      <c r="K44" s="106"/>
      <c r="L44" s="106"/>
      <c r="M44" s="106"/>
      <c r="N44" s="106"/>
      <c r="O44" s="106"/>
      <c r="P44" s="105"/>
      <c r="Q44" s="105"/>
      <c r="R44" s="107">
        <f aca="true" t="shared" si="10" ref="R44:R51">Q44+S44</f>
        <v>0</v>
      </c>
      <c r="S44" s="176"/>
      <c r="T44" s="108"/>
      <c r="U44" s="318">
        <f>H44+S44+T44</f>
        <v>0</v>
      </c>
      <c r="V44" s="107"/>
      <c r="W44" s="217"/>
      <c r="X44" s="217"/>
      <c r="Y44" s="384"/>
      <c r="Z44" s="403"/>
      <c r="AA44" s="217"/>
      <c r="AB44" s="217"/>
      <c r="AC44" s="217"/>
      <c r="AD44" s="285"/>
      <c r="AE44" s="285"/>
      <c r="AF44" s="177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3.5" hidden="1" thickBot="1">
      <c r="A45" s="97">
        <v>3</v>
      </c>
      <c r="B45" s="164" t="s">
        <v>62</v>
      </c>
      <c r="C45" s="109">
        <f aca="true" t="shared" si="11" ref="C45:C55">D45+F45</f>
        <v>0</v>
      </c>
      <c r="D45" s="110"/>
      <c r="E45" s="110"/>
      <c r="F45" s="110"/>
      <c r="G45" s="109"/>
      <c r="H45" s="109">
        <f t="shared" si="9"/>
        <v>0</v>
      </c>
      <c r="I45" s="110"/>
      <c r="J45" s="110"/>
      <c r="K45" s="110"/>
      <c r="L45" s="110"/>
      <c r="M45" s="110"/>
      <c r="N45" s="110"/>
      <c r="O45" s="110"/>
      <c r="P45" s="109"/>
      <c r="Q45" s="109"/>
      <c r="R45" s="111">
        <f t="shared" si="10"/>
        <v>0</v>
      </c>
      <c r="S45" s="178"/>
      <c r="T45" s="112"/>
      <c r="U45" s="319">
        <f aca="true" t="shared" si="12" ref="U45:U55">H45+S45+T45</f>
        <v>0</v>
      </c>
      <c r="V45" s="111"/>
      <c r="W45" s="218"/>
      <c r="X45" s="218"/>
      <c r="Y45" s="385"/>
      <c r="Z45" s="404"/>
      <c r="AA45" s="218"/>
      <c r="AB45" s="218"/>
      <c r="AC45" s="218"/>
      <c r="AD45" s="286"/>
      <c r="AE45" s="286"/>
      <c r="AF45" s="179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3.5" hidden="1" thickBot="1">
      <c r="A46" s="97">
        <v>3</v>
      </c>
      <c r="B46" s="164" t="s">
        <v>63</v>
      </c>
      <c r="C46" s="109">
        <f t="shared" si="11"/>
        <v>0</v>
      </c>
      <c r="D46" s="110"/>
      <c r="E46" s="110"/>
      <c r="F46" s="110"/>
      <c r="G46" s="109"/>
      <c r="H46" s="109">
        <f t="shared" si="9"/>
        <v>0</v>
      </c>
      <c r="I46" s="110"/>
      <c r="J46" s="110"/>
      <c r="K46" s="110"/>
      <c r="L46" s="110"/>
      <c r="M46" s="110"/>
      <c r="N46" s="110"/>
      <c r="O46" s="110"/>
      <c r="P46" s="109"/>
      <c r="Q46" s="109"/>
      <c r="R46" s="111">
        <f t="shared" si="10"/>
        <v>0</v>
      </c>
      <c r="S46" s="178"/>
      <c r="T46" s="112"/>
      <c r="U46" s="319">
        <f t="shared" si="12"/>
        <v>0</v>
      </c>
      <c r="V46" s="111"/>
      <c r="W46" s="218"/>
      <c r="X46" s="218"/>
      <c r="Y46" s="385"/>
      <c r="Z46" s="404"/>
      <c r="AA46" s="218"/>
      <c r="AB46" s="218"/>
      <c r="AC46" s="218"/>
      <c r="AD46" s="286"/>
      <c r="AE46" s="286"/>
      <c r="AF46" s="179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3.5" hidden="1" thickBot="1">
      <c r="A47" s="97">
        <v>3</v>
      </c>
      <c r="B47" s="164" t="s">
        <v>67</v>
      </c>
      <c r="C47" s="109">
        <f t="shared" si="11"/>
        <v>0</v>
      </c>
      <c r="D47" s="110"/>
      <c r="E47" s="110"/>
      <c r="F47" s="110"/>
      <c r="G47" s="109"/>
      <c r="H47" s="109">
        <f t="shared" si="9"/>
        <v>0</v>
      </c>
      <c r="I47" s="110"/>
      <c r="J47" s="110"/>
      <c r="K47" s="110"/>
      <c r="L47" s="110"/>
      <c r="M47" s="110"/>
      <c r="N47" s="110"/>
      <c r="O47" s="110"/>
      <c r="P47" s="109"/>
      <c r="Q47" s="109"/>
      <c r="R47" s="111">
        <f t="shared" si="10"/>
        <v>0</v>
      </c>
      <c r="S47" s="178"/>
      <c r="T47" s="112"/>
      <c r="U47" s="319">
        <f t="shared" si="12"/>
        <v>0</v>
      </c>
      <c r="V47" s="111"/>
      <c r="W47" s="218"/>
      <c r="X47" s="218"/>
      <c r="Y47" s="385"/>
      <c r="Z47" s="404"/>
      <c r="AA47" s="218"/>
      <c r="AB47" s="218"/>
      <c r="AC47" s="218"/>
      <c r="AD47" s="286"/>
      <c r="AE47" s="286"/>
      <c r="AF47" s="179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3.5" hidden="1" thickBot="1">
      <c r="A48" s="220">
        <v>1</v>
      </c>
      <c r="B48" s="164" t="s">
        <v>68</v>
      </c>
      <c r="C48" s="109">
        <f t="shared" si="11"/>
        <v>0</v>
      </c>
      <c r="D48" s="110"/>
      <c r="E48" s="110"/>
      <c r="F48" s="110"/>
      <c r="G48" s="109"/>
      <c r="H48" s="109">
        <f t="shared" si="9"/>
        <v>0</v>
      </c>
      <c r="I48" s="110"/>
      <c r="J48" s="110"/>
      <c r="K48" s="110"/>
      <c r="L48" s="110"/>
      <c r="M48" s="110"/>
      <c r="N48" s="110"/>
      <c r="O48" s="110"/>
      <c r="P48" s="109"/>
      <c r="Q48" s="109"/>
      <c r="R48" s="111">
        <f t="shared" si="10"/>
        <v>0</v>
      </c>
      <c r="S48" s="178"/>
      <c r="T48" s="112"/>
      <c r="U48" s="319">
        <f t="shared" si="12"/>
        <v>0</v>
      </c>
      <c r="V48" s="111"/>
      <c r="W48" s="218"/>
      <c r="X48" s="218"/>
      <c r="Y48" s="385"/>
      <c r="Z48" s="404"/>
      <c r="AA48" s="218"/>
      <c r="AB48" s="218"/>
      <c r="AC48" s="218"/>
      <c r="AD48" s="286"/>
      <c r="AE48" s="286"/>
      <c r="AF48" s="179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3.5" hidden="1" thickBot="1">
      <c r="A49" s="220">
        <v>1</v>
      </c>
      <c r="B49" s="164" t="s">
        <v>69</v>
      </c>
      <c r="C49" s="109">
        <f t="shared" si="11"/>
        <v>0</v>
      </c>
      <c r="D49" s="110"/>
      <c r="E49" s="110"/>
      <c r="F49" s="110"/>
      <c r="G49" s="109"/>
      <c r="H49" s="109">
        <f t="shared" si="9"/>
        <v>0</v>
      </c>
      <c r="I49" s="110">
        <f>J49+L49</f>
        <v>0</v>
      </c>
      <c r="J49" s="110"/>
      <c r="K49" s="110"/>
      <c r="L49" s="110"/>
      <c r="M49" s="110"/>
      <c r="N49" s="110"/>
      <c r="O49" s="110"/>
      <c r="P49" s="109"/>
      <c r="Q49" s="109"/>
      <c r="R49" s="111">
        <f t="shared" si="10"/>
        <v>0</v>
      </c>
      <c r="S49" s="178"/>
      <c r="T49" s="112"/>
      <c r="U49" s="319">
        <f t="shared" si="12"/>
        <v>0</v>
      </c>
      <c r="V49" s="111"/>
      <c r="W49" s="218"/>
      <c r="X49" s="218"/>
      <c r="Y49" s="385"/>
      <c r="Z49" s="404"/>
      <c r="AA49" s="218"/>
      <c r="AB49" s="218"/>
      <c r="AC49" s="218"/>
      <c r="AD49" s="286"/>
      <c r="AE49" s="286"/>
      <c r="AF49" s="179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3.5" hidden="1" thickBot="1">
      <c r="A50" s="196">
        <v>3</v>
      </c>
      <c r="B50" s="164" t="s">
        <v>70</v>
      </c>
      <c r="C50" s="109">
        <f t="shared" si="11"/>
        <v>0</v>
      </c>
      <c r="D50" s="110"/>
      <c r="E50" s="110"/>
      <c r="F50" s="110"/>
      <c r="G50" s="109"/>
      <c r="H50" s="109">
        <f t="shared" si="9"/>
        <v>0</v>
      </c>
      <c r="I50" s="110"/>
      <c r="J50" s="110"/>
      <c r="K50" s="110"/>
      <c r="L50" s="110"/>
      <c r="M50" s="110"/>
      <c r="N50" s="110"/>
      <c r="O50" s="110"/>
      <c r="P50" s="109"/>
      <c r="Q50" s="109"/>
      <c r="R50" s="111">
        <f t="shared" si="10"/>
        <v>0</v>
      </c>
      <c r="S50" s="178"/>
      <c r="T50" s="112"/>
      <c r="U50" s="319">
        <f t="shared" si="12"/>
        <v>0</v>
      </c>
      <c r="V50" s="111"/>
      <c r="W50" s="218"/>
      <c r="X50" s="218"/>
      <c r="Y50" s="385"/>
      <c r="Z50" s="404"/>
      <c r="AA50" s="218"/>
      <c r="AB50" s="218"/>
      <c r="AC50" s="218"/>
      <c r="AD50" s="286"/>
      <c r="AE50" s="286"/>
      <c r="AF50" s="179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3.5" hidden="1" thickBot="1">
      <c r="A51" s="196">
        <v>3</v>
      </c>
      <c r="B51" s="164" t="s">
        <v>71</v>
      </c>
      <c r="C51" s="109">
        <f t="shared" si="11"/>
        <v>0</v>
      </c>
      <c r="D51" s="110"/>
      <c r="E51" s="110"/>
      <c r="F51" s="110"/>
      <c r="G51" s="109"/>
      <c r="H51" s="109">
        <f t="shared" si="9"/>
        <v>0</v>
      </c>
      <c r="I51" s="110"/>
      <c r="J51" s="110"/>
      <c r="K51" s="110"/>
      <c r="L51" s="110"/>
      <c r="M51" s="110"/>
      <c r="N51" s="110"/>
      <c r="O51" s="110"/>
      <c r="P51" s="109"/>
      <c r="Q51" s="109"/>
      <c r="R51" s="111">
        <f t="shared" si="10"/>
        <v>0</v>
      </c>
      <c r="S51" s="178"/>
      <c r="T51" s="112"/>
      <c r="U51" s="319">
        <f t="shared" si="12"/>
        <v>0</v>
      </c>
      <c r="V51" s="111"/>
      <c r="W51" s="218"/>
      <c r="X51" s="218"/>
      <c r="Y51" s="385"/>
      <c r="Z51" s="404"/>
      <c r="AA51" s="218"/>
      <c r="AB51" s="218"/>
      <c r="AC51" s="218"/>
      <c r="AD51" s="286"/>
      <c r="AE51" s="286"/>
      <c r="AF51" s="179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3.5" hidden="1" thickBot="1">
      <c r="A52" s="196">
        <v>3</v>
      </c>
      <c r="B52" s="164"/>
      <c r="C52" s="109">
        <f t="shared" si="11"/>
        <v>0</v>
      </c>
      <c r="D52" s="110"/>
      <c r="E52" s="110"/>
      <c r="F52" s="110"/>
      <c r="G52" s="109"/>
      <c r="H52" s="109">
        <f t="shared" si="9"/>
        <v>0</v>
      </c>
      <c r="I52" s="110"/>
      <c r="J52" s="110"/>
      <c r="K52" s="110"/>
      <c r="L52" s="110"/>
      <c r="M52" s="110"/>
      <c r="N52" s="110"/>
      <c r="O52" s="110"/>
      <c r="P52" s="109"/>
      <c r="Q52" s="109"/>
      <c r="R52" s="111"/>
      <c r="S52" s="178"/>
      <c r="T52" s="112"/>
      <c r="U52" s="319">
        <f t="shared" si="12"/>
        <v>0</v>
      </c>
      <c r="V52" s="111"/>
      <c r="W52" s="218"/>
      <c r="X52" s="218"/>
      <c r="Y52" s="385"/>
      <c r="Z52" s="404"/>
      <c r="AA52" s="218"/>
      <c r="AB52" s="218"/>
      <c r="AC52" s="218"/>
      <c r="AD52" s="286"/>
      <c r="AE52" s="286"/>
      <c r="AF52" s="179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3.5" hidden="1" thickBot="1">
      <c r="A53" s="196">
        <v>3</v>
      </c>
      <c r="B53" s="164"/>
      <c r="C53" s="109"/>
      <c r="D53" s="110"/>
      <c r="E53" s="110"/>
      <c r="F53" s="110"/>
      <c r="G53" s="109"/>
      <c r="H53" s="109">
        <f t="shared" si="9"/>
        <v>0</v>
      </c>
      <c r="I53" s="110">
        <f>J53+L53</f>
        <v>0</v>
      </c>
      <c r="J53" s="110"/>
      <c r="K53" s="110"/>
      <c r="L53" s="110"/>
      <c r="M53" s="110"/>
      <c r="N53" s="110"/>
      <c r="O53" s="110"/>
      <c r="P53" s="109"/>
      <c r="Q53" s="109"/>
      <c r="R53" s="111"/>
      <c r="S53" s="178"/>
      <c r="T53" s="112"/>
      <c r="U53" s="319">
        <f t="shared" si="12"/>
        <v>0</v>
      </c>
      <c r="V53" s="111"/>
      <c r="W53" s="218"/>
      <c r="X53" s="218"/>
      <c r="Y53" s="385"/>
      <c r="Z53" s="404"/>
      <c r="AA53" s="218"/>
      <c r="AB53" s="218"/>
      <c r="AC53" s="218"/>
      <c r="AD53" s="286"/>
      <c r="AE53" s="286"/>
      <c r="AF53" s="179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3.5" hidden="1" thickBot="1">
      <c r="A54" s="196">
        <v>3</v>
      </c>
      <c r="B54" s="164"/>
      <c r="C54" s="109"/>
      <c r="D54" s="110"/>
      <c r="E54" s="110"/>
      <c r="F54" s="110"/>
      <c r="G54" s="109"/>
      <c r="H54" s="109">
        <f t="shared" si="9"/>
        <v>0</v>
      </c>
      <c r="I54" s="110"/>
      <c r="J54" s="110"/>
      <c r="K54" s="110"/>
      <c r="L54" s="110"/>
      <c r="M54" s="110"/>
      <c r="N54" s="110"/>
      <c r="O54" s="110"/>
      <c r="P54" s="109"/>
      <c r="Q54" s="109"/>
      <c r="R54" s="111"/>
      <c r="S54" s="178"/>
      <c r="T54" s="112"/>
      <c r="U54" s="319">
        <f t="shared" si="12"/>
        <v>0</v>
      </c>
      <c r="V54" s="111"/>
      <c r="W54" s="218"/>
      <c r="X54" s="218"/>
      <c r="Y54" s="385"/>
      <c r="Z54" s="404"/>
      <c r="AA54" s="218"/>
      <c r="AB54" s="218"/>
      <c r="AC54" s="218"/>
      <c r="AD54" s="286"/>
      <c r="AE54" s="286"/>
      <c r="AF54" s="179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3.5" hidden="1" thickBot="1">
      <c r="A55" s="97">
        <v>3</v>
      </c>
      <c r="B55" s="164"/>
      <c r="C55" s="109">
        <f t="shared" si="11"/>
        <v>0</v>
      </c>
      <c r="D55" s="110"/>
      <c r="E55" s="110"/>
      <c r="F55" s="110"/>
      <c r="G55" s="109"/>
      <c r="H55" s="109">
        <f t="shared" si="9"/>
        <v>0</v>
      </c>
      <c r="I55" s="110"/>
      <c r="J55" s="110"/>
      <c r="K55" s="110"/>
      <c r="L55" s="110"/>
      <c r="M55" s="110"/>
      <c r="N55" s="110"/>
      <c r="O55" s="110"/>
      <c r="P55" s="109"/>
      <c r="Q55" s="109"/>
      <c r="R55" s="111"/>
      <c r="S55" s="178"/>
      <c r="T55" s="112"/>
      <c r="U55" s="319">
        <f t="shared" si="12"/>
        <v>0</v>
      </c>
      <c r="V55" s="111"/>
      <c r="W55" s="218"/>
      <c r="X55" s="218"/>
      <c r="Y55" s="385"/>
      <c r="Z55" s="404"/>
      <c r="AA55" s="218"/>
      <c r="AB55" s="218"/>
      <c r="AC55" s="218"/>
      <c r="AD55" s="286"/>
      <c r="AE55" s="286"/>
      <c r="AF55" s="179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3" ht="13.5" hidden="1" thickBot="1">
      <c r="A56" s="116"/>
      <c r="B56" s="34" t="s">
        <v>38</v>
      </c>
      <c r="C56" s="85">
        <f aca="true" t="shared" si="13" ref="C56:V56">SUM(C44:C55)</f>
        <v>0</v>
      </c>
      <c r="D56" s="85">
        <f t="shared" si="13"/>
        <v>0</v>
      </c>
      <c r="E56" s="85"/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/>
      <c r="L56" s="85">
        <f t="shared" si="13"/>
        <v>0</v>
      </c>
      <c r="M56" s="85">
        <f t="shared" si="13"/>
        <v>0</v>
      </c>
      <c r="N56" s="85">
        <f t="shared" si="13"/>
        <v>0</v>
      </c>
      <c r="O56" s="85">
        <f t="shared" si="13"/>
        <v>0</v>
      </c>
      <c r="P56" s="85">
        <f t="shared" si="13"/>
        <v>0</v>
      </c>
      <c r="Q56" s="85">
        <f t="shared" si="13"/>
        <v>0</v>
      </c>
      <c r="R56" s="85">
        <f t="shared" si="13"/>
        <v>0</v>
      </c>
      <c r="S56" s="137">
        <f t="shared" si="13"/>
        <v>0</v>
      </c>
      <c r="T56" s="88">
        <f t="shared" si="13"/>
        <v>0</v>
      </c>
      <c r="U56" s="203">
        <f t="shared" si="13"/>
        <v>0</v>
      </c>
      <c r="V56" s="94">
        <f t="shared" si="13"/>
        <v>0</v>
      </c>
      <c r="W56" s="87">
        <f>SUM(W44:W55)</f>
        <v>0</v>
      </c>
      <c r="X56" s="87">
        <f>SUM(X44:X55)</f>
        <v>0</v>
      </c>
      <c r="Y56" s="175">
        <f>SUM(Y44:Y55)</f>
        <v>0</v>
      </c>
      <c r="Z56" s="94"/>
      <c r="AA56" s="87"/>
      <c r="AB56" s="87"/>
      <c r="AC56" s="87"/>
      <c r="AD56" s="87"/>
      <c r="AE56" s="87"/>
      <c r="AF56" s="117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3.5" hidden="1" thickBot="1">
      <c r="A57" s="104">
        <v>3</v>
      </c>
      <c r="B57" s="158" t="s">
        <v>72</v>
      </c>
      <c r="C57" s="105">
        <f aca="true" t="shared" si="14" ref="C57:C69">D57+F57</f>
        <v>0</v>
      </c>
      <c r="D57" s="106"/>
      <c r="E57" s="106"/>
      <c r="F57" s="106"/>
      <c r="G57" s="105"/>
      <c r="H57" s="109">
        <f aca="true" t="shared" si="15" ref="H57:H69">I57+M57+N57+O57+P57+Q57</f>
        <v>0</v>
      </c>
      <c r="I57" s="106">
        <f>J57+L57</f>
        <v>0</v>
      </c>
      <c r="J57" s="106"/>
      <c r="K57" s="106"/>
      <c r="L57" s="106"/>
      <c r="M57" s="106"/>
      <c r="N57" s="106"/>
      <c r="O57" s="106"/>
      <c r="P57" s="105"/>
      <c r="Q57" s="105"/>
      <c r="R57" s="107">
        <f>Q57+S57</f>
        <v>0</v>
      </c>
      <c r="S57" s="176"/>
      <c r="T57" s="121"/>
      <c r="U57" s="319">
        <f>H57+S57</f>
        <v>0</v>
      </c>
      <c r="V57" s="107"/>
      <c r="W57" s="217"/>
      <c r="X57" s="217"/>
      <c r="Y57" s="384"/>
      <c r="Z57" s="403"/>
      <c r="AA57" s="217"/>
      <c r="AB57" s="217"/>
      <c r="AC57" s="217"/>
      <c r="AD57" s="285"/>
      <c r="AE57" s="285"/>
      <c r="AF57" s="177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3.5" hidden="1" thickBot="1">
      <c r="A58" s="220">
        <v>1</v>
      </c>
      <c r="B58" s="56" t="s">
        <v>73</v>
      </c>
      <c r="C58" s="109">
        <f t="shared" si="14"/>
        <v>0</v>
      </c>
      <c r="D58" s="119"/>
      <c r="E58" s="119"/>
      <c r="F58" s="119"/>
      <c r="G58" s="118"/>
      <c r="H58" s="109">
        <f t="shared" si="15"/>
        <v>0</v>
      </c>
      <c r="I58" s="119"/>
      <c r="J58" s="119"/>
      <c r="K58" s="119"/>
      <c r="L58" s="119"/>
      <c r="M58" s="119"/>
      <c r="N58" s="119"/>
      <c r="O58" s="119"/>
      <c r="P58" s="118"/>
      <c r="Q58" s="118"/>
      <c r="R58" s="120">
        <f aca="true" t="shared" si="16" ref="R58:R69">Q58+S58</f>
        <v>0</v>
      </c>
      <c r="S58" s="213"/>
      <c r="T58" s="121"/>
      <c r="U58" s="320">
        <f aca="true" t="shared" si="17" ref="U58:U65">H58+S58</f>
        <v>0</v>
      </c>
      <c r="V58" s="120"/>
      <c r="W58" s="338"/>
      <c r="X58" s="338"/>
      <c r="Y58" s="386"/>
      <c r="Z58" s="405"/>
      <c r="AA58" s="338"/>
      <c r="AB58" s="338"/>
      <c r="AC58" s="338"/>
      <c r="AD58" s="339"/>
      <c r="AE58" s="339"/>
      <c r="AF58" s="340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3.5" hidden="1" thickBot="1">
      <c r="A59" s="49">
        <v>3</v>
      </c>
      <c r="B59" s="56" t="s">
        <v>74</v>
      </c>
      <c r="C59" s="109">
        <f t="shared" si="14"/>
        <v>0</v>
      </c>
      <c r="D59" s="119"/>
      <c r="E59" s="119"/>
      <c r="F59" s="119"/>
      <c r="G59" s="118"/>
      <c r="H59" s="109">
        <f t="shared" si="15"/>
        <v>0</v>
      </c>
      <c r="I59" s="119"/>
      <c r="J59" s="119"/>
      <c r="K59" s="119"/>
      <c r="L59" s="119"/>
      <c r="M59" s="119"/>
      <c r="N59" s="119"/>
      <c r="O59" s="119"/>
      <c r="P59" s="118"/>
      <c r="Q59" s="118"/>
      <c r="R59" s="120">
        <f t="shared" si="16"/>
        <v>0</v>
      </c>
      <c r="S59" s="213"/>
      <c r="T59" s="121"/>
      <c r="U59" s="319">
        <f t="shared" si="17"/>
        <v>0</v>
      </c>
      <c r="V59" s="120"/>
      <c r="W59" s="338"/>
      <c r="X59" s="338"/>
      <c r="Y59" s="386"/>
      <c r="Z59" s="405"/>
      <c r="AA59" s="338"/>
      <c r="AB59" s="338"/>
      <c r="AC59" s="338"/>
      <c r="AD59" s="339"/>
      <c r="AE59" s="339"/>
      <c r="AF59" s="340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3.5" hidden="1" thickBot="1">
      <c r="A60" s="200">
        <v>1</v>
      </c>
      <c r="B60" s="182" t="s">
        <v>75</v>
      </c>
      <c r="C60" s="109">
        <f>D60+F60</f>
        <v>0</v>
      </c>
      <c r="D60" s="119"/>
      <c r="E60" s="119"/>
      <c r="F60" s="119"/>
      <c r="G60" s="118"/>
      <c r="H60" s="109">
        <f t="shared" si="15"/>
        <v>0</v>
      </c>
      <c r="I60" s="119">
        <f>J60+L60</f>
        <v>0</v>
      </c>
      <c r="J60" s="119"/>
      <c r="K60" s="119"/>
      <c r="L60" s="119"/>
      <c r="M60" s="119"/>
      <c r="N60" s="119"/>
      <c r="O60" s="119"/>
      <c r="P60" s="118"/>
      <c r="Q60" s="118"/>
      <c r="R60" s="120">
        <f>Q60+S60</f>
        <v>0</v>
      </c>
      <c r="S60" s="213"/>
      <c r="T60" s="121"/>
      <c r="U60" s="319">
        <f>H60+S60</f>
        <v>0</v>
      </c>
      <c r="V60" s="120"/>
      <c r="W60" s="338"/>
      <c r="X60" s="338"/>
      <c r="Y60" s="386"/>
      <c r="Z60" s="405"/>
      <c r="AA60" s="338"/>
      <c r="AB60" s="338"/>
      <c r="AC60" s="338"/>
      <c r="AD60" s="339"/>
      <c r="AE60" s="339"/>
      <c r="AF60" s="340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3.5" hidden="1" thickBot="1">
      <c r="A61" s="49">
        <v>3</v>
      </c>
      <c r="B61" s="182" t="s">
        <v>76</v>
      </c>
      <c r="C61" s="109">
        <f>D61+F61</f>
        <v>0</v>
      </c>
      <c r="D61" s="119"/>
      <c r="E61" s="119"/>
      <c r="F61" s="119"/>
      <c r="G61" s="118"/>
      <c r="H61" s="109">
        <f t="shared" si="15"/>
        <v>0</v>
      </c>
      <c r="I61" s="119"/>
      <c r="J61" s="119"/>
      <c r="K61" s="119"/>
      <c r="L61" s="119"/>
      <c r="M61" s="119"/>
      <c r="N61" s="119"/>
      <c r="O61" s="119"/>
      <c r="P61" s="118"/>
      <c r="Q61" s="118"/>
      <c r="R61" s="120">
        <f>Q61+S61</f>
        <v>0</v>
      </c>
      <c r="S61" s="213"/>
      <c r="T61" s="121"/>
      <c r="U61" s="319">
        <f>H61+S61</f>
        <v>0</v>
      </c>
      <c r="V61" s="120"/>
      <c r="W61" s="338"/>
      <c r="X61" s="338"/>
      <c r="Y61" s="386"/>
      <c r="Z61" s="405"/>
      <c r="AA61" s="338"/>
      <c r="AB61" s="338"/>
      <c r="AC61" s="338"/>
      <c r="AD61" s="339"/>
      <c r="AE61" s="339"/>
      <c r="AF61" s="340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3.5" hidden="1" thickBot="1">
      <c r="A62" s="49">
        <v>3</v>
      </c>
      <c r="B62" s="182" t="s">
        <v>77</v>
      </c>
      <c r="C62" s="109">
        <f>D62+F62</f>
        <v>0</v>
      </c>
      <c r="D62" s="119"/>
      <c r="E62" s="119"/>
      <c r="F62" s="119"/>
      <c r="G62" s="118"/>
      <c r="H62" s="109">
        <f t="shared" si="15"/>
        <v>0</v>
      </c>
      <c r="I62" s="119">
        <f>J62+L62</f>
        <v>0</v>
      </c>
      <c r="J62" s="119"/>
      <c r="K62" s="119"/>
      <c r="L62" s="119"/>
      <c r="M62" s="119"/>
      <c r="N62" s="119"/>
      <c r="O62" s="119"/>
      <c r="P62" s="118"/>
      <c r="Q62" s="118"/>
      <c r="R62" s="120">
        <f>Q62+S62</f>
        <v>0</v>
      </c>
      <c r="S62" s="213"/>
      <c r="T62" s="121"/>
      <c r="U62" s="319">
        <f>H62+S62</f>
        <v>0</v>
      </c>
      <c r="V62" s="120"/>
      <c r="W62" s="338"/>
      <c r="X62" s="338"/>
      <c r="Y62" s="386"/>
      <c r="Z62" s="405"/>
      <c r="AA62" s="338"/>
      <c r="AB62" s="338"/>
      <c r="AC62" s="338"/>
      <c r="AD62" s="339"/>
      <c r="AE62" s="339"/>
      <c r="AF62" s="340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3.5" hidden="1" thickBot="1">
      <c r="A63" s="221">
        <v>3</v>
      </c>
      <c r="B63" s="182" t="s">
        <v>78</v>
      </c>
      <c r="C63" s="109">
        <f>D63+F63</f>
        <v>0</v>
      </c>
      <c r="D63" s="119"/>
      <c r="E63" s="119"/>
      <c r="F63" s="119"/>
      <c r="G63" s="118"/>
      <c r="H63" s="109">
        <f t="shared" si="15"/>
        <v>0</v>
      </c>
      <c r="I63" s="119"/>
      <c r="J63" s="119"/>
      <c r="K63" s="119"/>
      <c r="L63" s="119"/>
      <c r="M63" s="119"/>
      <c r="N63" s="119"/>
      <c r="O63" s="119"/>
      <c r="P63" s="118"/>
      <c r="Q63" s="118"/>
      <c r="R63" s="120">
        <f>Q63+S63</f>
        <v>0</v>
      </c>
      <c r="S63" s="213"/>
      <c r="T63" s="121"/>
      <c r="U63" s="319">
        <f>H63+S63</f>
        <v>0</v>
      </c>
      <c r="V63" s="120"/>
      <c r="W63" s="338"/>
      <c r="X63" s="338"/>
      <c r="Y63" s="386"/>
      <c r="Z63" s="405"/>
      <c r="AA63" s="338"/>
      <c r="AB63" s="338"/>
      <c r="AC63" s="338"/>
      <c r="AD63" s="339"/>
      <c r="AE63" s="339"/>
      <c r="AF63" s="340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3.5" hidden="1" thickBot="1">
      <c r="A64" s="49">
        <v>3</v>
      </c>
      <c r="B64" s="182" t="s">
        <v>79</v>
      </c>
      <c r="C64" s="109">
        <f t="shared" si="14"/>
        <v>0</v>
      </c>
      <c r="D64" s="119"/>
      <c r="E64" s="119"/>
      <c r="F64" s="119"/>
      <c r="G64" s="118"/>
      <c r="H64" s="109">
        <f t="shared" si="15"/>
        <v>0</v>
      </c>
      <c r="I64" s="119"/>
      <c r="J64" s="119"/>
      <c r="K64" s="119"/>
      <c r="L64" s="119"/>
      <c r="M64" s="119"/>
      <c r="N64" s="119"/>
      <c r="O64" s="119"/>
      <c r="P64" s="118"/>
      <c r="Q64" s="118"/>
      <c r="R64" s="120">
        <f t="shared" si="16"/>
        <v>0</v>
      </c>
      <c r="S64" s="213"/>
      <c r="T64" s="121"/>
      <c r="U64" s="319">
        <f t="shared" si="17"/>
        <v>0</v>
      </c>
      <c r="V64" s="120"/>
      <c r="W64" s="338"/>
      <c r="X64" s="338"/>
      <c r="Y64" s="387"/>
      <c r="Z64" s="406"/>
      <c r="AA64" s="338"/>
      <c r="AB64" s="338"/>
      <c r="AC64" s="338"/>
      <c r="AD64" s="341"/>
      <c r="AE64" s="341"/>
      <c r="AF64" s="340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3.5" hidden="1" thickBot="1">
      <c r="A65" s="201">
        <v>3</v>
      </c>
      <c r="B65" s="182" t="s">
        <v>80</v>
      </c>
      <c r="C65" s="109">
        <f t="shared" si="14"/>
        <v>0</v>
      </c>
      <c r="D65" s="119"/>
      <c r="E65" s="119"/>
      <c r="F65" s="119"/>
      <c r="G65" s="118"/>
      <c r="H65" s="109">
        <f t="shared" si="15"/>
        <v>0</v>
      </c>
      <c r="I65" s="119"/>
      <c r="J65" s="119"/>
      <c r="K65" s="119"/>
      <c r="L65" s="119"/>
      <c r="M65" s="119"/>
      <c r="N65" s="119"/>
      <c r="O65" s="119"/>
      <c r="P65" s="118"/>
      <c r="Q65" s="118"/>
      <c r="R65" s="120">
        <f t="shared" si="16"/>
        <v>0</v>
      </c>
      <c r="S65" s="213"/>
      <c r="T65" s="121"/>
      <c r="U65" s="319">
        <f t="shared" si="17"/>
        <v>0</v>
      </c>
      <c r="V65" s="120"/>
      <c r="W65" s="338"/>
      <c r="X65" s="338"/>
      <c r="Y65" s="386"/>
      <c r="Z65" s="405"/>
      <c r="AA65" s="338"/>
      <c r="AB65" s="338"/>
      <c r="AC65" s="338"/>
      <c r="AD65" s="339"/>
      <c r="AE65" s="339"/>
      <c r="AF65" s="340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3.5" hidden="1" thickBot="1">
      <c r="A66" s="196">
        <v>3</v>
      </c>
      <c r="B66" s="182" t="s">
        <v>81</v>
      </c>
      <c r="C66" s="109">
        <f t="shared" si="14"/>
        <v>0</v>
      </c>
      <c r="D66" s="110"/>
      <c r="E66" s="110"/>
      <c r="F66" s="110"/>
      <c r="G66" s="109"/>
      <c r="H66" s="109">
        <f t="shared" si="15"/>
        <v>0</v>
      </c>
      <c r="I66" s="119"/>
      <c r="J66" s="119"/>
      <c r="K66" s="119"/>
      <c r="L66" s="119"/>
      <c r="M66" s="110"/>
      <c r="N66" s="110"/>
      <c r="O66" s="110"/>
      <c r="P66" s="109"/>
      <c r="Q66" s="109"/>
      <c r="R66" s="111">
        <f t="shared" si="16"/>
        <v>0</v>
      </c>
      <c r="S66" s="178"/>
      <c r="T66" s="112"/>
      <c r="U66" s="319">
        <f>H66+S66</f>
        <v>0</v>
      </c>
      <c r="V66" s="111"/>
      <c r="W66" s="218"/>
      <c r="X66" s="218"/>
      <c r="Y66" s="385"/>
      <c r="Z66" s="404"/>
      <c r="AA66" s="218"/>
      <c r="AB66" s="218"/>
      <c r="AC66" s="218"/>
      <c r="AD66" s="286"/>
      <c r="AE66" s="286"/>
      <c r="AF66" s="179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3.5" hidden="1" thickBot="1">
      <c r="A67" s="97">
        <v>3</v>
      </c>
      <c r="B67" s="158" t="s">
        <v>82</v>
      </c>
      <c r="C67" s="109">
        <f t="shared" si="14"/>
        <v>0</v>
      </c>
      <c r="D67" s="110"/>
      <c r="E67" s="110"/>
      <c r="F67" s="110"/>
      <c r="G67" s="109"/>
      <c r="H67" s="109">
        <f t="shared" si="15"/>
        <v>0</v>
      </c>
      <c r="I67" s="119"/>
      <c r="J67" s="119"/>
      <c r="K67" s="119"/>
      <c r="L67" s="119"/>
      <c r="M67" s="110"/>
      <c r="N67" s="110"/>
      <c r="O67" s="110"/>
      <c r="P67" s="109"/>
      <c r="Q67" s="109"/>
      <c r="R67" s="111">
        <f t="shared" si="16"/>
        <v>0</v>
      </c>
      <c r="S67" s="178"/>
      <c r="T67" s="112"/>
      <c r="U67" s="319">
        <f>H67+S67</f>
        <v>0</v>
      </c>
      <c r="V67" s="111"/>
      <c r="W67" s="218"/>
      <c r="X67" s="218"/>
      <c r="Y67" s="385"/>
      <c r="Z67" s="404"/>
      <c r="AA67" s="218"/>
      <c r="AB67" s="218"/>
      <c r="AC67" s="218"/>
      <c r="AD67" s="286"/>
      <c r="AE67" s="286"/>
      <c r="AF67" s="179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3.5" hidden="1" thickBot="1">
      <c r="A68" s="220">
        <v>1</v>
      </c>
      <c r="B68" s="158" t="s">
        <v>83</v>
      </c>
      <c r="C68" s="183"/>
      <c r="D68" s="184"/>
      <c r="E68" s="184"/>
      <c r="F68" s="184"/>
      <c r="G68" s="183"/>
      <c r="H68" s="183">
        <f t="shared" si="15"/>
        <v>0</v>
      </c>
      <c r="I68" s="119"/>
      <c r="J68" s="119"/>
      <c r="K68" s="119"/>
      <c r="L68" s="119"/>
      <c r="M68" s="184"/>
      <c r="N68" s="184"/>
      <c r="O68" s="184"/>
      <c r="P68" s="183"/>
      <c r="Q68" s="183"/>
      <c r="R68" s="186">
        <f>S68+Q68</f>
        <v>0</v>
      </c>
      <c r="S68" s="180"/>
      <c r="T68" s="187"/>
      <c r="U68" s="321">
        <f>H68+S68</f>
        <v>0</v>
      </c>
      <c r="V68" s="186"/>
      <c r="W68" s="342"/>
      <c r="X68" s="342"/>
      <c r="Y68" s="388"/>
      <c r="Z68" s="407"/>
      <c r="AA68" s="342"/>
      <c r="AB68" s="342"/>
      <c r="AC68" s="342"/>
      <c r="AD68" s="343"/>
      <c r="AE68" s="343"/>
      <c r="AF68" s="181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3.5" hidden="1" thickBot="1">
      <c r="A69" s="220">
        <v>1</v>
      </c>
      <c r="B69" s="158" t="s">
        <v>84</v>
      </c>
      <c r="C69" s="183">
        <f t="shared" si="14"/>
        <v>0</v>
      </c>
      <c r="D69" s="184"/>
      <c r="E69" s="184"/>
      <c r="F69" s="184"/>
      <c r="G69" s="183"/>
      <c r="H69" s="183">
        <f t="shared" si="15"/>
        <v>0</v>
      </c>
      <c r="I69" s="185"/>
      <c r="J69" s="185"/>
      <c r="K69" s="185"/>
      <c r="L69" s="185"/>
      <c r="M69" s="184"/>
      <c r="N69" s="184"/>
      <c r="O69" s="184"/>
      <c r="P69" s="183"/>
      <c r="Q69" s="183"/>
      <c r="R69" s="186">
        <f t="shared" si="16"/>
        <v>0</v>
      </c>
      <c r="S69" s="180"/>
      <c r="T69" s="187"/>
      <c r="U69" s="321">
        <f>H69+S69</f>
        <v>0</v>
      </c>
      <c r="V69" s="186"/>
      <c r="W69" s="342"/>
      <c r="X69" s="342"/>
      <c r="Y69" s="388"/>
      <c r="Z69" s="407"/>
      <c r="AA69" s="342"/>
      <c r="AB69" s="342"/>
      <c r="AC69" s="342"/>
      <c r="AD69" s="343"/>
      <c r="AE69" s="343"/>
      <c r="AF69" s="181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3.5" hidden="1" thickBot="1">
      <c r="A70" s="116">
        <v>3</v>
      </c>
      <c r="B70" s="34" t="s">
        <v>39</v>
      </c>
      <c r="C70" s="85">
        <f aca="true" t="shared" si="18" ref="C70:V70">SUM(C57:C69)</f>
        <v>0</v>
      </c>
      <c r="D70" s="85">
        <f t="shared" si="18"/>
        <v>0</v>
      </c>
      <c r="E70" s="85"/>
      <c r="F70" s="85">
        <f t="shared" si="18"/>
        <v>0</v>
      </c>
      <c r="G70" s="85">
        <f t="shared" si="18"/>
        <v>0</v>
      </c>
      <c r="H70" s="85">
        <f t="shared" si="18"/>
        <v>0</v>
      </c>
      <c r="I70" s="85">
        <f t="shared" si="18"/>
        <v>0</v>
      </c>
      <c r="J70" s="85">
        <f t="shared" si="18"/>
        <v>0</v>
      </c>
      <c r="K70" s="85"/>
      <c r="L70" s="85">
        <f t="shared" si="18"/>
        <v>0</v>
      </c>
      <c r="M70" s="85">
        <f t="shared" si="18"/>
        <v>0</v>
      </c>
      <c r="N70" s="85">
        <f t="shared" si="18"/>
        <v>0</v>
      </c>
      <c r="O70" s="85">
        <f t="shared" si="18"/>
        <v>0</v>
      </c>
      <c r="P70" s="85">
        <f t="shared" si="18"/>
        <v>0</v>
      </c>
      <c r="Q70" s="85">
        <f t="shared" si="18"/>
        <v>0</v>
      </c>
      <c r="R70" s="85">
        <f t="shared" si="18"/>
        <v>0</v>
      </c>
      <c r="S70" s="137">
        <f t="shared" si="18"/>
        <v>0</v>
      </c>
      <c r="T70" s="88">
        <f t="shared" si="18"/>
        <v>0</v>
      </c>
      <c r="U70" s="203">
        <f t="shared" si="18"/>
        <v>0</v>
      </c>
      <c r="V70" s="94">
        <f t="shared" si="18"/>
        <v>0</v>
      </c>
      <c r="W70" s="87">
        <f>SUM(W57:W69)</f>
        <v>0</v>
      </c>
      <c r="X70" s="87"/>
      <c r="Y70" s="175">
        <f>SUM(Y57:Y69)</f>
        <v>0</v>
      </c>
      <c r="Z70" s="94"/>
      <c r="AA70" s="87"/>
      <c r="AB70" s="87"/>
      <c r="AC70" s="87"/>
      <c r="AD70" s="87"/>
      <c r="AE70" s="87"/>
      <c r="AF70" s="117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2" ht="13.5" thickBot="1">
      <c r="A71" s="2"/>
      <c r="B71" s="43" t="s">
        <v>40</v>
      </c>
      <c r="C71" s="89">
        <f aca="true" t="shared" si="19" ref="C71:V71">C29+C43+C56+C70</f>
        <v>0</v>
      </c>
      <c r="D71" s="136">
        <f t="shared" si="19"/>
        <v>0</v>
      </c>
      <c r="E71" s="136"/>
      <c r="F71" s="140">
        <f t="shared" si="19"/>
        <v>0</v>
      </c>
      <c r="G71" s="89">
        <f t="shared" si="19"/>
        <v>0</v>
      </c>
      <c r="H71" s="89">
        <f>I71+M71+N71+O71+P71+Q71</f>
        <v>0</v>
      </c>
      <c r="I71" s="89">
        <f t="shared" si="19"/>
        <v>0</v>
      </c>
      <c r="J71" s="136">
        <f t="shared" si="19"/>
        <v>0</v>
      </c>
      <c r="K71" s="136">
        <f t="shared" si="19"/>
        <v>0</v>
      </c>
      <c r="L71" s="140">
        <f t="shared" si="19"/>
        <v>0</v>
      </c>
      <c r="M71" s="140">
        <f t="shared" si="19"/>
        <v>0</v>
      </c>
      <c r="N71" s="140">
        <f t="shared" si="19"/>
        <v>0</v>
      </c>
      <c r="O71" s="140">
        <f t="shared" si="19"/>
        <v>0</v>
      </c>
      <c r="P71" s="89">
        <f t="shared" si="19"/>
        <v>0</v>
      </c>
      <c r="Q71" s="89">
        <f t="shared" si="19"/>
        <v>0</v>
      </c>
      <c r="R71" s="136">
        <f t="shared" si="19"/>
        <v>0</v>
      </c>
      <c r="S71" s="214">
        <f t="shared" si="19"/>
        <v>0</v>
      </c>
      <c r="T71" s="92">
        <f t="shared" si="19"/>
        <v>0</v>
      </c>
      <c r="U71" s="322">
        <f t="shared" si="19"/>
        <v>0</v>
      </c>
      <c r="V71" s="344">
        <f t="shared" si="19"/>
        <v>0</v>
      </c>
      <c r="W71" s="345">
        <f>W29+W43+W56+W70</f>
        <v>0</v>
      </c>
      <c r="X71" s="345">
        <f>X29+X43+X56+X70</f>
        <v>0</v>
      </c>
      <c r="Y71" s="389">
        <f>Y29+Y43+Y56+Y70</f>
        <v>0</v>
      </c>
      <c r="Z71" s="344">
        <f>Z29+Z43+Z56+Z70</f>
        <v>0</v>
      </c>
      <c r="AA71" s="345">
        <f aca="true" t="shared" si="20" ref="AA71:AF71">AA29+AA43+AA56+AA70</f>
        <v>0</v>
      </c>
      <c r="AB71" s="345">
        <f t="shared" si="20"/>
        <v>0</v>
      </c>
      <c r="AC71" s="345">
        <f t="shared" si="20"/>
        <v>0</v>
      </c>
      <c r="AD71" s="345">
        <f t="shared" si="20"/>
        <v>0</v>
      </c>
      <c r="AE71" s="345">
        <f t="shared" si="20"/>
        <v>0</v>
      </c>
      <c r="AF71" s="346">
        <f t="shared" si="20"/>
        <v>0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3.5" thickBot="1">
      <c r="A72" s="32"/>
      <c r="B72" s="265" t="s">
        <v>85</v>
      </c>
      <c r="C72" s="266">
        <f>C14+C71</f>
        <v>1168176</v>
      </c>
      <c r="D72" s="267">
        <f>D14+D71</f>
        <v>520950</v>
      </c>
      <c r="E72" s="434"/>
      <c r="F72" s="268">
        <f>F14+F71</f>
        <v>636560</v>
      </c>
      <c r="G72" s="269">
        <f>G14+G71</f>
        <v>524227</v>
      </c>
      <c r="H72" s="266">
        <f>H14+H15+H71</f>
        <v>14889407</v>
      </c>
      <c r="I72" s="266">
        <f aca="true" t="shared" si="21" ref="I72:R72">I14+I15+I71</f>
        <v>7937089</v>
      </c>
      <c r="J72" s="270">
        <f t="shared" si="21"/>
        <v>7881488</v>
      </c>
      <c r="K72" s="271">
        <f t="shared" si="21"/>
        <v>1872237</v>
      </c>
      <c r="L72" s="268">
        <f t="shared" si="21"/>
        <v>55601</v>
      </c>
      <c r="M72" s="268">
        <f t="shared" si="21"/>
        <v>2777982</v>
      </c>
      <c r="N72" s="268">
        <f t="shared" si="21"/>
        <v>157631</v>
      </c>
      <c r="O72" s="268">
        <f t="shared" si="21"/>
        <v>337235</v>
      </c>
      <c r="P72" s="268">
        <f t="shared" si="21"/>
        <v>1527126</v>
      </c>
      <c r="Q72" s="268">
        <f t="shared" si="21"/>
        <v>2152344</v>
      </c>
      <c r="R72" s="270">
        <f t="shared" si="21"/>
        <v>3557137</v>
      </c>
      <c r="S72" s="270">
        <f>S14+S15+S71</f>
        <v>1404793</v>
      </c>
      <c r="T72" s="266">
        <f>T14+T71</f>
        <v>0</v>
      </c>
      <c r="U72" s="270">
        <f>U14+U15+U71</f>
        <v>16294200</v>
      </c>
      <c r="V72" s="347">
        <f>V14+V71</f>
        <v>8070952</v>
      </c>
      <c r="W72" s="348">
        <f>W14+W71</f>
        <v>1659699</v>
      </c>
      <c r="X72" s="424">
        <f>X14+X71</f>
        <v>4620696</v>
      </c>
      <c r="Y72" s="390">
        <f>Y14+Y71</f>
        <v>1817193</v>
      </c>
      <c r="Z72" s="347">
        <f>Z14+Z71</f>
        <v>7203893</v>
      </c>
      <c r="AA72" s="348">
        <f aca="true" t="shared" si="22" ref="AA72:AF72">AA14+AA71</f>
        <v>1318</v>
      </c>
      <c r="AB72" s="348">
        <f t="shared" si="22"/>
        <v>1520</v>
      </c>
      <c r="AC72" s="424">
        <f t="shared" si="22"/>
        <v>820</v>
      </c>
      <c r="AD72" s="348">
        <f t="shared" si="22"/>
        <v>21160</v>
      </c>
      <c r="AE72" s="348">
        <f t="shared" si="22"/>
        <v>1400</v>
      </c>
      <c r="AF72" s="349">
        <f t="shared" si="22"/>
        <v>12780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3.5" thickBot="1">
      <c r="A73" s="32"/>
      <c r="B73" s="43" t="s">
        <v>51</v>
      </c>
      <c r="C73" s="79">
        <f aca="true" t="shared" si="23" ref="C73:O73">C15</f>
        <v>0</v>
      </c>
      <c r="D73" s="146">
        <f t="shared" si="23"/>
        <v>0</v>
      </c>
      <c r="E73" s="435"/>
      <c r="F73" s="143">
        <f t="shared" si="23"/>
        <v>0</v>
      </c>
      <c r="G73" s="142">
        <f t="shared" si="23"/>
        <v>0</v>
      </c>
      <c r="H73" s="79">
        <f>I73+M73+N73+O73+P73+Q73</f>
        <v>33382</v>
      </c>
      <c r="I73" s="79">
        <f t="shared" si="23"/>
        <v>0</v>
      </c>
      <c r="J73" s="141">
        <f t="shared" si="23"/>
        <v>0</v>
      </c>
      <c r="K73" s="232"/>
      <c r="L73" s="143">
        <f t="shared" si="23"/>
        <v>0</v>
      </c>
      <c r="M73" s="143">
        <f t="shared" si="23"/>
        <v>0</v>
      </c>
      <c r="N73" s="143">
        <f t="shared" si="23"/>
        <v>0</v>
      </c>
      <c r="O73" s="143">
        <f t="shared" si="23"/>
        <v>0</v>
      </c>
      <c r="P73" s="143">
        <f>P15</f>
        <v>0</v>
      </c>
      <c r="Q73" s="143">
        <f>Q15-5000</f>
        <v>33382</v>
      </c>
      <c r="R73" s="141">
        <f>Q73+S73</f>
        <v>115660</v>
      </c>
      <c r="S73" s="141">
        <f>S15-5000</f>
        <v>82278</v>
      </c>
      <c r="T73" s="79">
        <f>T15</f>
        <v>0</v>
      </c>
      <c r="U73" s="141">
        <f>H73+S73+T73</f>
        <v>115660</v>
      </c>
      <c r="V73" s="350">
        <f>V15</f>
        <v>125660</v>
      </c>
      <c r="W73" s="351">
        <f>W15</f>
        <v>0</v>
      </c>
      <c r="X73" s="351">
        <v>0</v>
      </c>
      <c r="Y73" s="391">
        <f>Y15</f>
        <v>0</v>
      </c>
      <c r="Z73" s="350">
        <f>Z15</f>
        <v>0</v>
      </c>
      <c r="AA73" s="351">
        <f aca="true" t="shared" si="24" ref="AA73:AF73">AA15</f>
        <v>0</v>
      </c>
      <c r="AB73" s="351">
        <f t="shared" si="24"/>
        <v>0</v>
      </c>
      <c r="AC73" s="351">
        <f t="shared" si="24"/>
        <v>0</v>
      </c>
      <c r="AD73" s="351">
        <f t="shared" si="24"/>
        <v>0</v>
      </c>
      <c r="AE73" s="351">
        <f t="shared" si="24"/>
        <v>0</v>
      </c>
      <c r="AF73" s="352">
        <f t="shared" si="24"/>
        <v>0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2.75">
      <c r="A74" s="54"/>
      <c r="B74" s="55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353"/>
      <c r="W74" s="354"/>
      <c r="X74" s="354"/>
      <c r="Y74" s="392"/>
      <c r="Z74" s="408"/>
      <c r="AA74" s="219"/>
      <c r="AB74" s="219"/>
      <c r="AC74" s="219"/>
      <c r="AD74" s="219"/>
      <c r="AE74" s="219"/>
      <c r="AF74" s="20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2.75">
      <c r="A75" s="54"/>
      <c r="B75" s="55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355"/>
      <c r="W75" s="356"/>
      <c r="X75" s="356"/>
      <c r="Y75" s="393"/>
      <c r="Z75" s="408"/>
      <c r="AA75" s="219"/>
      <c r="AB75" s="219"/>
      <c r="AC75" s="219"/>
      <c r="AD75" s="219"/>
      <c r="AE75" s="219"/>
      <c r="AF75" s="20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2.75">
      <c r="A76" s="51">
        <v>1</v>
      </c>
      <c r="B76" s="52" t="s">
        <v>19</v>
      </c>
      <c r="C76" s="70">
        <f>D76+F76</f>
        <v>0</v>
      </c>
      <c r="D76" s="71">
        <v>0</v>
      </c>
      <c r="E76" s="71"/>
      <c r="F76" s="71">
        <v>0</v>
      </c>
      <c r="G76" s="72">
        <v>0</v>
      </c>
      <c r="H76" s="70">
        <f>I76+M76+N76+O76+P76+Q76</f>
        <v>0</v>
      </c>
      <c r="I76" s="71">
        <f>J76+L76</f>
        <v>0</v>
      </c>
      <c r="J76" s="71">
        <f>J23</f>
        <v>0</v>
      </c>
      <c r="K76" s="71"/>
      <c r="L76" s="71">
        <f>L19</f>
        <v>0</v>
      </c>
      <c r="M76" s="71">
        <f>M23</f>
        <v>0</v>
      </c>
      <c r="N76" s="71">
        <f>N23</f>
        <v>0</v>
      </c>
      <c r="O76" s="71">
        <f>O19</f>
        <v>0</v>
      </c>
      <c r="P76" s="71"/>
      <c r="Q76" s="71">
        <f>Q18+Q24+Q26+Q27</f>
        <v>0</v>
      </c>
      <c r="R76" s="95">
        <f>Q76+S76</f>
        <v>0</v>
      </c>
      <c r="S76" s="150">
        <f>S18+S24+S26+S27</f>
        <v>0</v>
      </c>
      <c r="T76" s="72">
        <v>0</v>
      </c>
      <c r="U76" s="323">
        <f>H76+S76+T76</f>
        <v>0</v>
      </c>
      <c r="V76" s="95">
        <v>0</v>
      </c>
      <c r="W76" s="150">
        <f>W30</f>
        <v>0</v>
      </c>
      <c r="X76" s="150">
        <v>0</v>
      </c>
      <c r="Y76" s="394">
        <v>0</v>
      </c>
      <c r="Z76" s="409">
        <v>0</v>
      </c>
      <c r="AA76" s="287">
        <v>0</v>
      </c>
      <c r="AB76" s="287">
        <v>0</v>
      </c>
      <c r="AC76" s="287">
        <v>0</v>
      </c>
      <c r="AD76" s="287">
        <v>0</v>
      </c>
      <c r="AE76" s="287">
        <v>0</v>
      </c>
      <c r="AF76" s="357">
        <v>0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12.75">
      <c r="A77" s="49">
        <v>3</v>
      </c>
      <c r="B77" s="46" t="s">
        <v>19</v>
      </c>
      <c r="C77" s="65">
        <f>D77+F77</f>
        <v>0</v>
      </c>
      <c r="D77" s="68">
        <v>0</v>
      </c>
      <c r="E77" s="68"/>
      <c r="F77" s="68">
        <v>0</v>
      </c>
      <c r="G77" s="74">
        <v>0</v>
      </c>
      <c r="H77" s="73">
        <f>I77+M77+N77+O77+P77+Q77</f>
        <v>0</v>
      </c>
      <c r="I77" s="68">
        <f>J77+L77</f>
        <v>0</v>
      </c>
      <c r="J77" s="68">
        <f>J17+J20</f>
        <v>0</v>
      </c>
      <c r="K77" s="68"/>
      <c r="L77" s="68">
        <f>L21+L25+L28</f>
        <v>0</v>
      </c>
      <c r="M77" s="68">
        <f>M17+M28</f>
        <v>0</v>
      </c>
      <c r="N77" s="68">
        <f>N17</f>
        <v>0</v>
      </c>
      <c r="O77" s="68">
        <f>O22</f>
        <v>0</v>
      </c>
      <c r="P77" s="68">
        <f>P17+P19+P20+P21+P22+P25+P28</f>
        <v>0</v>
      </c>
      <c r="Q77" s="68">
        <f>Q19+Q22+Q23</f>
        <v>0</v>
      </c>
      <c r="R77" s="66">
        <f>Q77+S77</f>
        <v>0</v>
      </c>
      <c r="S77" s="67">
        <f>S22+S23</f>
        <v>0</v>
      </c>
      <c r="T77" s="74">
        <f>T47</f>
        <v>0</v>
      </c>
      <c r="U77" s="195">
        <f>H77+S77+T77</f>
        <v>0</v>
      </c>
      <c r="V77" s="66">
        <f>V22+V23</f>
        <v>0</v>
      </c>
      <c r="W77" s="67">
        <f>W22</f>
        <v>0</v>
      </c>
      <c r="X77" s="67">
        <v>0</v>
      </c>
      <c r="Y77" s="212">
        <f>Y64</f>
        <v>0</v>
      </c>
      <c r="Z77" s="66">
        <f>Z17+Z20+Z22+Z28</f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172">
        <v>0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12.75">
      <c r="A78" s="50">
        <v>5</v>
      </c>
      <c r="B78" s="47" t="s">
        <v>19</v>
      </c>
      <c r="C78" s="126">
        <f>D78+F78</f>
        <v>0</v>
      </c>
      <c r="D78" s="76">
        <v>0</v>
      </c>
      <c r="E78" s="76"/>
      <c r="F78" s="76">
        <v>0</v>
      </c>
      <c r="G78" s="77">
        <v>0</v>
      </c>
      <c r="H78" s="75">
        <f>I78+M78+N78+O78+P78+Q78</f>
        <v>0</v>
      </c>
      <c r="I78" s="76">
        <v>0</v>
      </c>
      <c r="J78" s="76">
        <v>0</v>
      </c>
      <c r="K78" s="76"/>
      <c r="L78" s="76">
        <v>0</v>
      </c>
      <c r="M78" s="76">
        <v>0</v>
      </c>
      <c r="N78" s="76">
        <v>0</v>
      </c>
      <c r="O78" s="76">
        <v>0</v>
      </c>
      <c r="P78" s="145">
        <v>0</v>
      </c>
      <c r="Q78" s="145">
        <v>0</v>
      </c>
      <c r="R78" s="96">
        <v>0</v>
      </c>
      <c r="S78" s="151">
        <v>0</v>
      </c>
      <c r="T78" s="77">
        <v>0</v>
      </c>
      <c r="U78" s="324">
        <f>H78+S78+T78</f>
        <v>0</v>
      </c>
      <c r="V78" s="96">
        <v>0</v>
      </c>
      <c r="W78" s="151">
        <v>0</v>
      </c>
      <c r="X78" s="151">
        <v>0</v>
      </c>
      <c r="Y78" s="395">
        <v>0</v>
      </c>
      <c r="Z78" s="410">
        <v>0</v>
      </c>
      <c r="AA78" s="358">
        <v>0</v>
      </c>
      <c r="AB78" s="358">
        <v>0</v>
      </c>
      <c r="AC78" s="358">
        <v>0</v>
      </c>
      <c r="AD78" s="358">
        <v>0</v>
      </c>
      <c r="AE78" s="358">
        <v>0</v>
      </c>
      <c r="AF78" s="359">
        <v>0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12.75">
      <c r="A79" s="47" t="s">
        <v>19</v>
      </c>
      <c r="B79" s="47"/>
      <c r="C79" s="75">
        <f>SUM(C76:C78)</f>
        <v>0</v>
      </c>
      <c r="D79" s="76">
        <f>SUM(D76:D78)</f>
        <v>0</v>
      </c>
      <c r="E79" s="76"/>
      <c r="F79" s="76">
        <f aca="true" t="shared" si="25" ref="F79:O79">SUM(F76:F78)</f>
        <v>0</v>
      </c>
      <c r="G79" s="77">
        <f t="shared" si="25"/>
        <v>0</v>
      </c>
      <c r="H79" s="147">
        <f>I79+M79+N79+O79+P79+Q79</f>
        <v>0</v>
      </c>
      <c r="I79" s="76">
        <f t="shared" si="25"/>
        <v>0</v>
      </c>
      <c r="J79" s="76">
        <f t="shared" si="25"/>
        <v>0</v>
      </c>
      <c r="K79" s="76"/>
      <c r="L79" s="76">
        <f t="shared" si="25"/>
        <v>0</v>
      </c>
      <c r="M79" s="76">
        <f t="shared" si="25"/>
        <v>0</v>
      </c>
      <c r="N79" s="76">
        <f t="shared" si="25"/>
        <v>0</v>
      </c>
      <c r="O79" s="76">
        <f t="shared" si="25"/>
        <v>0</v>
      </c>
      <c r="P79" s="144">
        <f aca="true" t="shared" si="26" ref="P79:AF79">SUM(P76:P78)</f>
        <v>0</v>
      </c>
      <c r="Q79" s="144">
        <f t="shared" si="26"/>
        <v>0</v>
      </c>
      <c r="R79" s="76">
        <f t="shared" si="26"/>
        <v>0</v>
      </c>
      <c r="S79" s="76">
        <f t="shared" si="26"/>
        <v>0</v>
      </c>
      <c r="T79" s="144">
        <f t="shared" si="26"/>
        <v>0</v>
      </c>
      <c r="U79" s="77">
        <f t="shared" si="26"/>
        <v>0</v>
      </c>
      <c r="V79" s="360">
        <f t="shared" si="26"/>
        <v>0</v>
      </c>
      <c r="W79" s="361">
        <f>SUM(W76:W78)</f>
        <v>0</v>
      </c>
      <c r="X79" s="361">
        <f>SUM(X76:X78)</f>
        <v>0</v>
      </c>
      <c r="Y79" s="396">
        <f t="shared" si="26"/>
        <v>0</v>
      </c>
      <c r="Z79" s="360">
        <f t="shared" si="26"/>
        <v>0</v>
      </c>
      <c r="AA79" s="361">
        <f t="shared" si="26"/>
        <v>0</v>
      </c>
      <c r="AB79" s="361">
        <f t="shared" si="26"/>
        <v>0</v>
      </c>
      <c r="AC79" s="361">
        <f t="shared" si="26"/>
        <v>0</v>
      </c>
      <c r="AD79" s="361">
        <f t="shared" si="26"/>
        <v>0</v>
      </c>
      <c r="AE79" s="361">
        <f t="shared" si="26"/>
        <v>0</v>
      </c>
      <c r="AF79" s="144">
        <f t="shared" si="26"/>
        <v>0</v>
      </c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2.75">
      <c r="A80" s="57"/>
      <c r="B80" s="5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12.75">
      <c r="A81" t="s">
        <v>41</v>
      </c>
      <c r="C81" s="2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12.75">
      <c r="A82" t="s">
        <v>42</v>
      </c>
      <c r="B82" t="s">
        <v>43</v>
      </c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12.75">
      <c r="A83" t="s">
        <v>44</v>
      </c>
      <c r="B83" t="s">
        <v>45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12.75">
      <c r="A84" t="s">
        <v>46</v>
      </c>
      <c r="B84" t="s">
        <v>47</v>
      </c>
      <c r="C84" s="2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2.75">
      <c r="A85" s="4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12.75">
      <c r="A86" s="4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12.75">
      <c r="A87" s="4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2.75">
      <c r="A88" s="4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12.75">
      <c r="A89" s="4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12.75">
      <c r="A90" s="4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.75">
      <c r="A91" s="4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2.75">
      <c r="A92" s="4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2.75">
      <c r="A93" s="4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2.75">
      <c r="A94" s="4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12.75">
      <c r="A95" s="4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12.75">
      <c r="A96" s="4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12.75">
      <c r="A97" s="4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12.75">
      <c r="A98" s="4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2.75">
      <c r="A99" s="4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2.75">
      <c r="A100" s="4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2.75">
      <c r="A101" s="4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3:42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3:42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3:42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3:42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3:42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3:42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3:42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3:42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3:42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3:42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3:42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3:42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3:42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</sheetData>
  <printOptions/>
  <pageMargins left="0.7874015748031497" right="0" top="0.7874015748031497" bottom="0" header="0.5118110236220472" footer="0.5118110236220472"/>
  <pageSetup fitToHeight="1" fitToWidth="1" horizontalDpi="600" verticalDpi="600" orientation="landscape" paperSize="8" scale="65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1997-07-29T09:08:10Z</dcterms:created>
  <cp:category/>
  <cp:version/>
  <cp:contentType/>
  <cp:contentStatus/>
</cp:coreProperties>
</file>