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9375" windowHeight="5475" activeTab="0"/>
  </bookViews>
  <sheets>
    <sheet name="MF" sheetId="1" r:id="rId1"/>
    <sheet name="ÚFO 2010 x GFŘ 2011" sheetId="2" r:id="rId2"/>
    <sheet name="GŘC" sheetId="3" r:id="rId3"/>
    <sheet name="ÚZSVM" sheetId="4" r:id="rId4"/>
    <sheet name="KFA" sheetId="5" r:id="rId5"/>
    <sheet name="KAPITOLA" sheetId="6" r:id="rId6"/>
    <sheet name="List2" sheetId="7" r:id="rId7"/>
  </sheets>
  <definedNames/>
  <calcPr fullCalcOnLoad="1"/>
</workbook>
</file>

<file path=xl/sharedStrings.xml><?xml version="1.0" encoding="utf-8"?>
<sst xmlns="http://schemas.openxmlformats.org/spreadsheetml/2006/main" count="619" uniqueCount="97">
  <si>
    <t>Ukazatel</t>
  </si>
  <si>
    <t>skutečnost</t>
  </si>
  <si>
    <t>%plnění</t>
  </si>
  <si>
    <t>skut.</t>
  </si>
  <si>
    <t>schválený</t>
  </si>
  <si>
    <t>v %</t>
  </si>
  <si>
    <t>sloupec</t>
  </si>
  <si>
    <t>Příjmy celkem</t>
  </si>
  <si>
    <t>v tom:</t>
  </si>
  <si>
    <t xml:space="preserve"> - pojistné na sociální  zabezpečení</t>
  </si>
  <si>
    <t xml:space="preserve">   z toho: pojistné na důchod. pojištění</t>
  </si>
  <si>
    <t xml:space="preserve"> - příjmy z vlastní činnosti </t>
  </si>
  <si>
    <t xml:space="preserve"> - příjmy z pronájmu majetku</t>
  </si>
  <si>
    <t xml:space="preserve"> - příjmy z úroků</t>
  </si>
  <si>
    <t xml:space="preserve"> - přijaté sankční platby a vratky transf.</t>
  </si>
  <si>
    <t xml:space="preserve"> - příjmy z prodeje neinv. majetku</t>
  </si>
  <si>
    <t xml:space="preserve"> - ostatní nedaňové příjmy</t>
  </si>
  <si>
    <t xml:space="preserve"> - příjmy z prodeje invest. majetku</t>
  </si>
  <si>
    <t xml:space="preserve"> - ostatní investiční příjmy</t>
  </si>
  <si>
    <t xml:space="preserve"> - převod z vlastních fondů</t>
  </si>
  <si>
    <t>Výdaje celkem</t>
  </si>
  <si>
    <t xml:space="preserve">v tom:  </t>
  </si>
  <si>
    <t xml:space="preserve"> - kapitálové (investiční)</t>
  </si>
  <si>
    <t xml:space="preserve">    v tom:</t>
  </si>
  <si>
    <t xml:space="preserve">    - pořízení nehm. inv. majetku</t>
  </si>
  <si>
    <t xml:space="preserve">    - pořízení hmot. inv. majetku</t>
  </si>
  <si>
    <t xml:space="preserve">    - ostatní pol.</t>
  </si>
  <si>
    <t xml:space="preserve"> - běžné (neinvestiční)</t>
  </si>
  <si>
    <t xml:space="preserve">   - platy zam. a ost. platby</t>
  </si>
  <si>
    <t xml:space="preserve">        v tom: platy zaměstnanců</t>
  </si>
  <si>
    <t>ostatní platby celkem</t>
  </si>
  <si>
    <t xml:space="preserve">   -  povinné pojistné</t>
  </si>
  <si>
    <t xml:space="preserve">   -  příděl do FKSP</t>
  </si>
  <si>
    <t xml:space="preserve">   -  sociální dávky</t>
  </si>
  <si>
    <t xml:space="preserve">   -  ostatní běžné  výdaje</t>
  </si>
  <si>
    <t xml:space="preserve">         v tom:</t>
  </si>
  <si>
    <t xml:space="preserve">        - nákup materiálu </t>
  </si>
  <si>
    <t xml:space="preserve">        - nákup vody, paliv, energie</t>
  </si>
  <si>
    <t xml:space="preserve">        - nákup služeb</t>
  </si>
  <si>
    <t xml:space="preserve">          z toho: nájemné</t>
  </si>
  <si>
    <t xml:space="preserve">        - ostatní nákupy</t>
  </si>
  <si>
    <t xml:space="preserve">          z toho: opravy a udržování</t>
  </si>
  <si>
    <t xml:space="preserve">                    program. vyb. do 60 tis.Kč</t>
  </si>
  <si>
    <t xml:space="preserve">                    cestovné</t>
  </si>
  <si>
    <t xml:space="preserve">       - ostatní pol.                                   </t>
  </si>
  <si>
    <t>prům. přep. počet zaměst.</t>
  </si>
  <si>
    <t>průměrný měsíční plat v Kč</t>
  </si>
  <si>
    <t>ostatní běžné výdaje  na 1 zam. v Kč</t>
  </si>
  <si>
    <t xml:space="preserve">                 ostatní platby celkem</t>
  </si>
  <si>
    <t xml:space="preserve">   - sociální dávky</t>
  </si>
  <si>
    <t>Generální ředitelství cel</t>
  </si>
  <si>
    <t>Úřad pro zastupování státu ve věcech majetkových</t>
  </si>
  <si>
    <t xml:space="preserve"> </t>
  </si>
  <si>
    <t>Kapitola 312 - MF ČR   c e l k e m</t>
  </si>
  <si>
    <t xml:space="preserve"> - odvody přebytků org. s přímým vztahem</t>
  </si>
  <si>
    <t xml:space="preserve"> - splátky půjčených prostředků</t>
  </si>
  <si>
    <t xml:space="preserve">  - příjmy z akcií a majetkových podílů</t>
  </si>
  <si>
    <t xml:space="preserve"> - neinvestiční přijaté transfery ze zahraničí</t>
  </si>
  <si>
    <t xml:space="preserve"> - správní poplatky</t>
  </si>
  <si>
    <t xml:space="preserve"> - poplatek za využív. přírod. minerál. vody</t>
  </si>
  <si>
    <t>NNV</t>
  </si>
  <si>
    <t>MRZ</t>
  </si>
  <si>
    <t xml:space="preserve"> 7:6</t>
  </si>
  <si>
    <t xml:space="preserve"> 7:1</t>
  </si>
  <si>
    <t>Poznámka:</t>
  </si>
  <si>
    <t>upravený</t>
  </si>
  <si>
    <t>6 = 3 + 4 + 5</t>
  </si>
  <si>
    <t xml:space="preserve"> 7 : 6</t>
  </si>
  <si>
    <t xml:space="preserve"> 7 : 1</t>
  </si>
  <si>
    <t>x</t>
  </si>
  <si>
    <t>celkový</t>
  </si>
  <si>
    <t>celkov. r.</t>
  </si>
  <si>
    <r>
      <t>MRZ</t>
    </r>
    <r>
      <rPr>
        <sz val="10"/>
        <rFont val="Times New Roman CE"/>
        <family val="0"/>
      </rPr>
      <t xml:space="preserve"> - mimorozpočtové zdroje převedené na příjmové účty</t>
    </r>
  </si>
  <si>
    <t xml:space="preserve"> - v oblasti příjmů = upravený rozpočet + MRZ převedené na příjmové účty a pojistné plnění z účtu s předčíslím 19, tj. sl. 3+5</t>
  </si>
  <si>
    <t xml:space="preserve"> - v oblasti výdajů = upravený rozpočet + MRZ převedené na příjmové účty a pojistné plnění z účtu s předčíslím 19 + NNV uvolněné </t>
  </si>
  <si>
    <t xml:space="preserve">                    program. vyb. do 60 tis. Kč</t>
  </si>
  <si>
    <t>2011/2010</t>
  </si>
  <si>
    <t xml:space="preserve">   dle výkazu NNV vyhl. 449/2009 Sb.,v platném znění  tj. sl. 3+4+5</t>
  </si>
  <si>
    <t xml:space="preserve"> dle výkazu NNV vyhl. 449/2009 Sb.,v platném znění  tj. sl. 3+4+5</t>
  </si>
  <si>
    <r>
      <t>NNV</t>
    </r>
    <r>
      <rPr>
        <sz val="10"/>
        <rFont val="Times New Roman CE"/>
        <family val="0"/>
      </rPr>
      <t xml:space="preserve"> - uvolněné nároky z nespotřebovaných výdajů OSS (sl. 8 výkazu NNV dle vyhlášky 449/2009 Sb., v platném znění)</t>
    </r>
  </si>
  <si>
    <r>
      <t>celkový rozpočet</t>
    </r>
    <r>
      <rPr>
        <sz val="10"/>
        <rFont val="Times New Roman CE"/>
        <family val="0"/>
      </rPr>
      <t xml:space="preserve"> = konečný rozpočet včetně položky sociální dávky</t>
    </r>
  </si>
  <si>
    <t>ÚFO</t>
  </si>
  <si>
    <t>GFŘ</t>
  </si>
  <si>
    <t xml:space="preserve">Ministerstvo financí </t>
  </si>
  <si>
    <t>Generální finanční ředitelství</t>
  </si>
  <si>
    <t>Kancelář finančního arbitra</t>
  </si>
  <si>
    <t>platy včetně září v tis. Kč</t>
  </si>
  <si>
    <t xml:space="preserve"> - neinv. převody z  Národního fondu</t>
  </si>
  <si>
    <t xml:space="preserve"> - investiční převody z Národního fondu</t>
  </si>
  <si>
    <t>Plnění vybraných ukazatelů státního rozpočtu k  31. 12. 2011 dle finančních výkazů Fin RO 2- 04 U (v tis. Kč)</t>
  </si>
  <si>
    <t>k 31 .12.</t>
  </si>
  <si>
    <t>rozpočet k 31. 12.</t>
  </si>
  <si>
    <t>k 31.12.</t>
  </si>
  <si>
    <t>k 31. 12.</t>
  </si>
  <si>
    <t xml:space="preserve"> 7:3</t>
  </si>
  <si>
    <t>uprav. r.</t>
  </si>
  <si>
    <t>MRZ+POJ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</si>
</sst>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;\-#,##0"/>
    <numFmt numFmtId="165" formatCode="#,##0;[Red]\-#,##0"/>
    <numFmt numFmtId="166" formatCode="#,##0.00;\-#,##0.00"/>
    <numFmt numFmtId="167" formatCode="#,##0.00;[Red]\-#,##0.00"/>
    <numFmt numFmtId="168" formatCode="0,000.0"/>
    <numFmt numFmtId="169" formatCode="#,##0.0"/>
    <numFmt numFmtId="170" formatCode="0.0%"/>
    <numFmt numFmtId="171" formatCode="0.0"/>
    <numFmt numFmtId="172" formatCode="#,##0;[Red]\-#,##0;&quot;  &quot;"/>
  </numFmts>
  <fonts count="3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name val="Times New Roman CE"/>
      <family val="1"/>
    </font>
    <font>
      <sz val="10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9"/>
      <name val="Times New Roman CE"/>
      <family val="1"/>
    </font>
    <font>
      <sz val="10"/>
      <color indexed="12"/>
      <name val="Times New Roman CE"/>
      <family val="1"/>
    </font>
    <font>
      <sz val="10"/>
      <color indexed="10"/>
      <name val="Times New Roman CE"/>
      <family val="1"/>
    </font>
    <font>
      <u val="single"/>
      <sz val="10"/>
      <name val="Times New Roman CE"/>
      <family val="1"/>
    </font>
    <font>
      <i/>
      <sz val="8"/>
      <name val="Times New Roman CE"/>
      <family val="0"/>
    </font>
    <font>
      <sz val="8"/>
      <name val="Arial CE"/>
      <family val="0"/>
    </font>
    <font>
      <i/>
      <sz val="9"/>
      <color indexed="12"/>
      <name val="Times New Roman CE"/>
      <family val="0"/>
    </font>
    <font>
      <i/>
      <sz val="9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 style="medium"/>
      <top>
        <color indexed="63"/>
      </top>
      <bottom style="dotted"/>
    </border>
    <border>
      <left style="thin"/>
      <right style="thin"/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dotted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thin"/>
      <bottom style="medium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medium"/>
    </border>
    <border>
      <left style="medium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dotted"/>
      <bottom style="thin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 style="medium"/>
      <bottom style="dotted"/>
    </border>
    <border>
      <left style="thin"/>
      <right style="thin"/>
      <top style="medium"/>
      <bottom style="thin"/>
    </border>
    <border>
      <left style="thin"/>
      <right style="thin"/>
      <top style="hair"/>
      <bottom style="dotted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dotted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1" applyNumberFormat="0" applyFill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20" fillId="12" borderId="2" applyNumberForma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26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26" fillId="0" borderId="0" applyNumberFormat="0" applyFill="0" applyBorder="0" applyAlignment="0" applyProtection="0"/>
    <xf numFmtId="0" fontId="28" fillId="7" borderId="8" applyNumberFormat="0" applyAlignment="0" applyProtection="0"/>
    <xf numFmtId="0" fontId="29" fillId="13" borderId="8" applyNumberFormat="0" applyAlignment="0" applyProtection="0"/>
    <xf numFmtId="0" fontId="30" fillId="13" borderId="9" applyNumberFormat="0" applyAlignment="0" applyProtection="0"/>
    <xf numFmtId="0" fontId="31" fillId="0" borderId="0" applyNumberFormat="0" applyFill="0" applyBorder="0" applyAlignment="0" applyProtection="0"/>
    <xf numFmtId="0" fontId="17" fillId="14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</cellStyleXfs>
  <cellXfs count="20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3" fontId="4" fillId="0" borderId="15" xfId="0" applyNumberFormat="1" applyFont="1" applyBorder="1" applyAlignment="1">
      <alignment/>
    </xf>
    <xf numFmtId="0" fontId="5" fillId="0" borderId="16" xfId="0" applyFont="1" applyBorder="1" applyAlignment="1">
      <alignment/>
    </xf>
    <xf numFmtId="3" fontId="5" fillId="0" borderId="17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0" fontId="5" fillId="0" borderId="14" xfId="0" applyFont="1" applyBorder="1" applyAlignment="1">
      <alignment/>
    </xf>
    <xf numFmtId="3" fontId="5" fillId="0" borderId="15" xfId="0" applyNumberFormat="1" applyFont="1" applyBorder="1" applyAlignment="1">
      <alignment/>
    </xf>
    <xf numFmtId="0" fontId="4" fillId="0" borderId="16" xfId="0" applyFont="1" applyBorder="1" applyAlignment="1">
      <alignment/>
    </xf>
    <xf numFmtId="3" fontId="4" fillId="0" borderId="17" xfId="0" applyNumberFormat="1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4" fillId="0" borderId="16" xfId="0" applyFont="1" applyBorder="1" applyAlignment="1">
      <alignment/>
    </xf>
    <xf numFmtId="3" fontId="4" fillId="0" borderId="17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Continuous"/>
    </xf>
    <xf numFmtId="0" fontId="5" fillId="0" borderId="23" xfId="0" applyFont="1" applyBorder="1" applyAlignment="1">
      <alignment horizontal="centerContinuous"/>
    </xf>
    <xf numFmtId="0" fontId="5" fillId="0" borderId="24" xfId="0" applyFont="1" applyBorder="1" applyAlignment="1">
      <alignment horizontal="centerContinuous"/>
    </xf>
    <xf numFmtId="0" fontId="5" fillId="0" borderId="15" xfId="0" applyFont="1" applyBorder="1" applyAlignment="1">
      <alignment horizontal="centerContinuous"/>
    </xf>
    <xf numFmtId="3" fontId="5" fillId="0" borderId="13" xfId="0" applyNumberFormat="1" applyFont="1" applyBorder="1" applyAlignment="1">
      <alignment horizontal="center"/>
    </xf>
    <xf numFmtId="169" fontId="4" fillId="0" borderId="15" xfId="0" applyNumberFormat="1" applyFont="1" applyBorder="1" applyAlignment="1">
      <alignment/>
    </xf>
    <xf numFmtId="169" fontId="5" fillId="0" borderId="17" xfId="0" applyNumberFormat="1" applyFont="1" applyBorder="1" applyAlignment="1">
      <alignment/>
    </xf>
    <xf numFmtId="169" fontId="5" fillId="0" borderId="18" xfId="0" applyNumberFormat="1" applyFont="1" applyBorder="1" applyAlignment="1">
      <alignment/>
    </xf>
    <xf numFmtId="169" fontId="5" fillId="0" borderId="15" xfId="0" applyNumberFormat="1" applyFont="1" applyBorder="1" applyAlignment="1">
      <alignment/>
    </xf>
    <xf numFmtId="169" fontId="4" fillId="0" borderId="17" xfId="0" applyNumberFormat="1" applyFont="1" applyBorder="1" applyAlignment="1">
      <alignment/>
    </xf>
    <xf numFmtId="169" fontId="4" fillId="0" borderId="17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18" xfId="0" applyNumberFormat="1" applyFont="1" applyBorder="1" applyAlignment="1">
      <alignment horizontal="center"/>
    </xf>
    <xf numFmtId="1" fontId="5" fillId="0" borderId="23" xfId="0" applyNumberFormat="1" applyFont="1" applyBorder="1" applyAlignment="1">
      <alignment horizontal="center"/>
    </xf>
    <xf numFmtId="0" fontId="5" fillId="0" borderId="25" xfId="0" applyFont="1" applyBorder="1" applyAlignment="1">
      <alignment/>
    </xf>
    <xf numFmtId="3" fontId="5" fillId="0" borderId="2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3" fontId="4" fillId="0" borderId="15" xfId="0" applyNumberFormat="1" applyFont="1" applyBorder="1" applyAlignment="1" applyProtection="1">
      <alignment/>
      <protection locked="0"/>
    </xf>
    <xf numFmtId="4" fontId="5" fillId="0" borderId="27" xfId="0" applyNumberFormat="1" applyFont="1" applyBorder="1" applyAlignment="1">
      <alignment/>
    </xf>
    <xf numFmtId="169" fontId="5" fillId="0" borderId="28" xfId="0" applyNumberFormat="1" applyFont="1" applyBorder="1" applyAlignment="1">
      <alignment/>
    </xf>
    <xf numFmtId="4" fontId="5" fillId="0" borderId="29" xfId="0" applyNumberFormat="1" applyFont="1" applyBorder="1" applyAlignment="1">
      <alignment/>
    </xf>
    <xf numFmtId="169" fontId="5" fillId="0" borderId="30" xfId="0" applyNumberFormat="1" applyFont="1" applyBorder="1" applyAlignment="1">
      <alignment/>
    </xf>
    <xf numFmtId="169" fontId="5" fillId="0" borderId="27" xfId="0" applyNumberFormat="1" applyFont="1" applyBorder="1" applyAlignment="1">
      <alignment/>
    </xf>
    <xf numFmtId="169" fontId="5" fillId="0" borderId="19" xfId="0" applyNumberFormat="1" applyFont="1" applyBorder="1" applyAlignment="1">
      <alignment/>
    </xf>
    <xf numFmtId="169" fontId="5" fillId="0" borderId="29" xfId="0" applyNumberFormat="1" applyFont="1" applyBorder="1" applyAlignment="1">
      <alignment/>
    </xf>
    <xf numFmtId="169" fontId="4" fillId="0" borderId="30" xfId="0" applyNumberFormat="1" applyFont="1" applyBorder="1" applyAlignment="1">
      <alignment/>
    </xf>
    <xf numFmtId="169" fontId="4" fillId="0" borderId="27" xfId="0" applyNumberFormat="1" applyFont="1" applyBorder="1" applyAlignment="1">
      <alignment/>
    </xf>
    <xf numFmtId="169" fontId="5" fillId="0" borderId="31" xfId="0" applyNumberFormat="1" applyFont="1" applyBorder="1" applyAlignment="1">
      <alignment/>
    </xf>
    <xf numFmtId="0" fontId="8" fillId="0" borderId="16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3" fontId="5" fillId="0" borderId="17" xfId="0" applyNumberFormat="1" applyFont="1" applyFill="1" applyBorder="1" applyAlignment="1">
      <alignment/>
    </xf>
    <xf numFmtId="0" fontId="0" fillId="0" borderId="20" xfId="0" applyFont="1" applyBorder="1" applyAlignment="1">
      <alignment horizontal="center"/>
    </xf>
    <xf numFmtId="169" fontId="5" fillId="0" borderId="17" xfId="0" applyNumberFormat="1" applyFont="1" applyBorder="1" applyAlignment="1">
      <alignment/>
    </xf>
    <xf numFmtId="169" fontId="5" fillId="0" borderId="20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169" fontId="5" fillId="0" borderId="13" xfId="0" applyNumberFormat="1" applyFont="1" applyBorder="1" applyAlignment="1">
      <alignment/>
    </xf>
    <xf numFmtId="0" fontId="4" fillId="0" borderId="14" xfId="0" applyFont="1" applyBorder="1" applyAlignment="1">
      <alignment/>
    </xf>
    <xf numFmtId="169" fontId="5" fillId="0" borderId="26" xfId="0" applyNumberFormat="1" applyFont="1" applyBorder="1" applyAlignment="1">
      <alignment/>
    </xf>
    <xf numFmtId="4" fontId="5" fillId="0" borderId="30" xfId="0" applyNumberFormat="1" applyFont="1" applyBorder="1" applyAlignment="1">
      <alignment/>
    </xf>
    <xf numFmtId="4" fontId="5" fillId="0" borderId="20" xfId="0" applyNumberFormat="1" applyFont="1" applyBorder="1" applyAlignment="1">
      <alignment/>
    </xf>
    <xf numFmtId="4" fontId="5" fillId="0" borderId="19" xfId="0" applyNumberFormat="1" applyFont="1" applyBorder="1" applyAlignment="1">
      <alignment/>
    </xf>
    <xf numFmtId="3" fontId="5" fillId="0" borderId="17" xfId="0" applyNumberFormat="1" applyFont="1" applyBorder="1" applyAlignment="1">
      <alignment/>
    </xf>
    <xf numFmtId="169" fontId="5" fillId="0" borderId="32" xfId="0" applyNumberFormat="1" applyFont="1" applyBorder="1" applyAlignment="1">
      <alignment/>
    </xf>
    <xf numFmtId="0" fontId="5" fillId="0" borderId="33" xfId="0" applyFont="1" applyBorder="1" applyAlignment="1">
      <alignment/>
    </xf>
    <xf numFmtId="3" fontId="5" fillId="0" borderId="34" xfId="0" applyNumberFormat="1" applyFont="1" applyBorder="1" applyAlignment="1">
      <alignment/>
    </xf>
    <xf numFmtId="169" fontId="5" fillId="0" borderId="34" xfId="0" applyNumberFormat="1" applyFont="1" applyBorder="1" applyAlignment="1">
      <alignment/>
    </xf>
    <xf numFmtId="169" fontId="5" fillId="0" borderId="35" xfId="0" applyNumberFormat="1" applyFont="1" applyBorder="1" applyAlignment="1">
      <alignment/>
    </xf>
    <xf numFmtId="4" fontId="5" fillId="0" borderId="35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0" fontId="4" fillId="0" borderId="36" xfId="0" applyFont="1" applyBorder="1" applyAlignment="1">
      <alignment/>
    </xf>
    <xf numFmtId="3" fontId="4" fillId="0" borderId="37" xfId="0" applyNumberFormat="1" applyFont="1" applyBorder="1" applyAlignment="1">
      <alignment/>
    </xf>
    <xf numFmtId="169" fontId="4" fillId="0" borderId="37" xfId="0" applyNumberFormat="1" applyFont="1" applyBorder="1" applyAlignment="1">
      <alignment/>
    </xf>
    <xf numFmtId="169" fontId="5" fillId="0" borderId="38" xfId="0" applyNumberFormat="1" applyFont="1" applyBorder="1" applyAlignment="1">
      <alignment/>
    </xf>
    <xf numFmtId="3" fontId="9" fillId="0" borderId="18" xfId="0" applyNumberFormat="1" applyFont="1" applyFill="1" applyBorder="1" applyAlignment="1">
      <alignment/>
    </xf>
    <xf numFmtId="3" fontId="9" fillId="0" borderId="0" xfId="0" applyNumberFormat="1" applyFont="1" applyAlignment="1">
      <alignment/>
    </xf>
    <xf numFmtId="3" fontId="4" fillId="0" borderId="15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3" fontId="4" fillId="0" borderId="37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3" fontId="5" fillId="0" borderId="26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 horizontal="center"/>
    </xf>
    <xf numFmtId="0" fontId="5" fillId="0" borderId="24" xfId="0" applyFont="1" applyBorder="1" applyAlignment="1">
      <alignment horizontal="centerContinuous"/>
    </xf>
    <xf numFmtId="3" fontId="5" fillId="0" borderId="13" xfId="0" applyNumberFormat="1" applyFont="1" applyFill="1" applyBorder="1" applyAlignment="1">
      <alignment horizontal="center"/>
    </xf>
    <xf numFmtId="3" fontId="5" fillId="0" borderId="34" xfId="0" applyNumberFormat="1" applyFont="1" applyFill="1" applyBorder="1" applyAlignment="1">
      <alignment/>
    </xf>
    <xf numFmtId="0" fontId="5" fillId="0" borderId="18" xfId="0" applyFont="1" applyBorder="1" applyAlignment="1">
      <alignment horizontal="centerContinuous"/>
    </xf>
    <xf numFmtId="0" fontId="5" fillId="0" borderId="39" xfId="0" applyFont="1" applyBorder="1" applyAlignment="1">
      <alignment horizontal="center"/>
    </xf>
    <xf numFmtId="0" fontId="4" fillId="0" borderId="0" xfId="0" applyFont="1" applyAlignment="1">
      <alignment/>
    </xf>
    <xf numFmtId="3" fontId="4" fillId="0" borderId="15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3" fontId="4" fillId="0" borderId="15" xfId="0" applyNumberFormat="1" applyFont="1" applyBorder="1" applyAlignment="1" applyProtection="1">
      <alignment horizontal="center"/>
      <protection locked="0"/>
    </xf>
    <xf numFmtId="3" fontId="4" fillId="0" borderId="17" xfId="0" applyNumberFormat="1" applyFont="1" applyFill="1" applyBorder="1" applyAlignment="1">
      <alignment/>
    </xf>
    <xf numFmtId="3" fontId="5" fillId="0" borderId="28" xfId="0" applyNumberFormat="1" applyFont="1" applyBorder="1" applyAlignment="1">
      <alignment/>
    </xf>
    <xf numFmtId="3" fontId="12" fillId="0" borderId="18" xfId="0" applyNumberFormat="1" applyFont="1" applyBorder="1" applyAlignment="1">
      <alignment/>
    </xf>
    <xf numFmtId="3" fontId="12" fillId="0" borderId="17" xfId="0" applyNumberFormat="1" applyFont="1" applyBorder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3" fontId="4" fillId="0" borderId="15" xfId="0" applyNumberFormat="1" applyFont="1" applyBorder="1" applyAlignment="1" applyProtection="1">
      <alignment/>
      <protection/>
    </xf>
    <xf numFmtId="3" fontId="5" fillId="0" borderId="40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5" fillId="0" borderId="41" xfId="0" applyNumberFormat="1" applyFont="1" applyFill="1" applyBorder="1" applyAlignment="1">
      <alignment/>
    </xf>
    <xf numFmtId="3" fontId="5" fillId="0" borderId="37" xfId="0" applyNumberFormat="1" applyFont="1" applyFill="1" applyBorder="1" applyAlignment="1">
      <alignment/>
    </xf>
    <xf numFmtId="3" fontId="5" fillId="0" borderId="42" xfId="0" applyNumberFormat="1" applyFont="1" applyFill="1" applyBorder="1" applyAlignment="1">
      <alignment/>
    </xf>
    <xf numFmtId="3" fontId="5" fillId="0" borderId="43" xfId="0" applyNumberFormat="1" applyFont="1" applyFill="1" applyBorder="1" applyAlignment="1">
      <alignment/>
    </xf>
    <xf numFmtId="3" fontId="5" fillId="0" borderId="44" xfId="0" applyNumberFormat="1" applyFont="1" applyBorder="1" applyAlignment="1">
      <alignment/>
    </xf>
    <xf numFmtId="3" fontId="5" fillId="0" borderId="17" xfId="0" applyNumberFormat="1" applyFont="1" applyFill="1" applyBorder="1" applyAlignment="1">
      <alignment/>
    </xf>
    <xf numFmtId="3" fontId="9" fillId="0" borderId="17" xfId="0" applyNumberFormat="1" applyFont="1" applyFill="1" applyBorder="1" applyAlignment="1">
      <alignment/>
    </xf>
    <xf numFmtId="3" fontId="9" fillId="0" borderId="13" xfId="0" applyNumberFormat="1" applyFont="1" applyFill="1" applyBorder="1" applyAlignment="1">
      <alignment/>
    </xf>
    <xf numFmtId="3" fontId="5" fillId="0" borderId="45" xfId="0" applyNumberFormat="1" applyFont="1" applyBorder="1" applyAlignment="1">
      <alignment/>
    </xf>
    <xf numFmtId="3" fontId="14" fillId="0" borderId="17" xfId="0" applyNumberFormat="1" applyFont="1" applyBorder="1" applyAlignment="1">
      <alignment/>
    </xf>
    <xf numFmtId="3" fontId="4" fillId="0" borderId="46" xfId="0" applyNumberFormat="1" applyFont="1" applyBorder="1" applyAlignment="1">
      <alignment/>
    </xf>
    <xf numFmtId="3" fontId="15" fillId="0" borderId="47" xfId="0" applyNumberFormat="1" applyFont="1" applyBorder="1" applyAlignment="1">
      <alignment/>
    </xf>
    <xf numFmtId="3" fontId="15" fillId="0" borderId="17" xfId="0" applyNumberFormat="1" applyFont="1" applyBorder="1" applyAlignment="1">
      <alignment/>
    </xf>
    <xf numFmtId="0" fontId="4" fillId="0" borderId="0" xfId="0" applyFont="1" applyFill="1" applyAlignment="1">
      <alignment/>
    </xf>
    <xf numFmtId="171" fontId="4" fillId="0" borderId="17" xfId="0" applyNumberFormat="1" applyFont="1" applyFill="1" applyBorder="1" applyAlignment="1">
      <alignment/>
    </xf>
    <xf numFmtId="169" fontId="5" fillId="0" borderId="17" xfId="0" applyNumberFormat="1" applyFont="1" applyFill="1" applyBorder="1" applyAlignment="1">
      <alignment/>
    </xf>
    <xf numFmtId="169" fontId="4" fillId="0" borderId="17" xfId="0" applyNumberFormat="1" applyFont="1" applyFill="1" applyBorder="1" applyAlignment="1">
      <alignment/>
    </xf>
    <xf numFmtId="169" fontId="4" fillId="0" borderId="17" xfId="0" applyNumberFormat="1" applyFont="1" applyFill="1" applyBorder="1" applyAlignment="1">
      <alignment/>
    </xf>
    <xf numFmtId="169" fontId="5" fillId="0" borderId="26" xfId="0" applyNumberFormat="1" applyFont="1" applyFill="1" applyBorder="1" applyAlignment="1">
      <alignment/>
    </xf>
    <xf numFmtId="3" fontId="12" fillId="0" borderId="17" xfId="0" applyNumberFormat="1" applyFont="1" applyFill="1" applyBorder="1" applyAlignment="1">
      <alignment/>
    </xf>
    <xf numFmtId="3" fontId="5" fillId="0" borderId="48" xfId="0" applyNumberFormat="1" applyFont="1" applyBorder="1" applyAlignment="1">
      <alignment/>
    </xf>
    <xf numFmtId="3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21" xfId="0" applyFont="1" applyFill="1" applyBorder="1" applyAlignment="1">
      <alignment/>
    </xf>
    <xf numFmtId="1" fontId="4" fillId="0" borderId="23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Continuous"/>
    </xf>
    <xf numFmtId="0" fontId="5" fillId="0" borderId="23" xfId="0" applyFont="1" applyFill="1" applyBorder="1" applyAlignment="1">
      <alignment horizontal="centerContinuous"/>
    </xf>
    <xf numFmtId="0" fontId="5" fillId="0" borderId="19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Continuous"/>
    </xf>
    <xf numFmtId="0" fontId="5" fillId="0" borderId="15" xfId="0" applyFont="1" applyFill="1" applyBorder="1" applyAlignment="1">
      <alignment horizontal="centerContinuous"/>
    </xf>
    <xf numFmtId="0" fontId="5" fillId="0" borderId="18" xfId="0" applyFont="1" applyFill="1" applyBorder="1" applyAlignment="1">
      <alignment horizontal="centerContinuous"/>
    </xf>
    <xf numFmtId="0" fontId="5" fillId="0" borderId="18" xfId="0" applyFont="1" applyFill="1" applyBorder="1" applyAlignment="1">
      <alignment horizontal="center"/>
    </xf>
    <xf numFmtId="3" fontId="4" fillId="0" borderId="13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39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169" fontId="5" fillId="0" borderId="13" xfId="0" applyNumberFormat="1" applyFont="1" applyFill="1" applyBorder="1" applyAlignment="1">
      <alignment horizontal="center"/>
    </xf>
    <xf numFmtId="3" fontId="4" fillId="0" borderId="49" xfId="0" applyNumberFormat="1" applyFont="1" applyFill="1" applyBorder="1" applyAlignment="1">
      <alignment/>
    </xf>
    <xf numFmtId="3" fontId="4" fillId="0" borderId="49" xfId="0" applyNumberFormat="1" applyFont="1" applyFill="1" applyBorder="1" applyAlignment="1">
      <alignment horizontal="center"/>
    </xf>
    <xf numFmtId="169" fontId="4" fillId="0" borderId="49" xfId="0" applyNumberFormat="1" applyFont="1" applyFill="1" applyBorder="1" applyAlignment="1">
      <alignment/>
    </xf>
    <xf numFmtId="169" fontId="5" fillId="0" borderId="30" xfId="0" applyNumberFormat="1" applyFont="1" applyFill="1" applyBorder="1" applyAlignment="1">
      <alignment/>
    </xf>
    <xf numFmtId="3" fontId="5" fillId="0" borderId="47" xfId="0" applyNumberFormat="1" applyFont="1" applyFill="1" applyBorder="1" applyAlignment="1">
      <alignment/>
    </xf>
    <xf numFmtId="3" fontId="5" fillId="0" borderId="47" xfId="0" applyNumberFormat="1" applyFont="1" applyFill="1" applyBorder="1" applyAlignment="1">
      <alignment horizontal="center"/>
    </xf>
    <xf numFmtId="169" fontId="5" fillId="0" borderId="47" xfId="0" applyNumberFormat="1" applyFont="1" applyFill="1" applyBorder="1" applyAlignment="1">
      <alignment/>
    </xf>
    <xf numFmtId="169" fontId="5" fillId="0" borderId="27" xfId="0" applyNumberFormat="1" applyFont="1" applyFill="1" applyBorder="1" applyAlignment="1">
      <alignment/>
    </xf>
    <xf numFmtId="3" fontId="5" fillId="0" borderId="17" xfId="0" applyNumberFormat="1" applyFont="1" applyFill="1" applyBorder="1" applyAlignment="1">
      <alignment horizontal="center"/>
    </xf>
    <xf numFmtId="3" fontId="5" fillId="0" borderId="50" xfId="0" applyNumberFormat="1" applyFont="1" applyFill="1" applyBorder="1" applyAlignment="1">
      <alignment/>
    </xf>
    <xf numFmtId="169" fontId="5" fillId="0" borderId="17" xfId="0" applyNumberFormat="1" applyFont="1" applyFill="1" applyBorder="1" applyAlignment="1">
      <alignment/>
    </xf>
    <xf numFmtId="3" fontId="5" fillId="0" borderId="45" xfId="0" applyNumberFormat="1" applyFont="1" applyFill="1" applyBorder="1" applyAlignment="1">
      <alignment/>
    </xf>
    <xf numFmtId="169" fontId="5" fillId="0" borderId="34" xfId="0" applyNumberFormat="1" applyFont="1" applyFill="1" applyBorder="1" applyAlignment="1">
      <alignment/>
    </xf>
    <xf numFmtId="169" fontId="5" fillId="0" borderId="34" xfId="0" applyNumberFormat="1" applyFont="1" applyFill="1" applyBorder="1" applyAlignment="1">
      <alignment/>
    </xf>
    <xf numFmtId="169" fontId="5" fillId="0" borderId="35" xfId="0" applyNumberFormat="1" applyFont="1" applyFill="1" applyBorder="1" applyAlignment="1">
      <alignment/>
    </xf>
    <xf numFmtId="3" fontId="5" fillId="0" borderId="32" xfId="0" applyNumberFormat="1" applyFont="1" applyFill="1" applyBorder="1" applyAlignment="1">
      <alignment/>
    </xf>
    <xf numFmtId="169" fontId="5" fillId="0" borderId="13" xfId="0" applyNumberFormat="1" applyFont="1" applyFill="1" applyBorder="1" applyAlignment="1">
      <alignment/>
    </xf>
    <xf numFmtId="169" fontId="4" fillId="0" borderId="13" xfId="0" applyNumberFormat="1" applyFont="1" applyFill="1" applyBorder="1" applyAlignment="1">
      <alignment/>
    </xf>
    <xf numFmtId="169" fontId="5" fillId="0" borderId="20" xfId="0" applyNumberFormat="1" applyFont="1" applyFill="1" applyBorder="1" applyAlignment="1">
      <alignment/>
    </xf>
    <xf numFmtId="3" fontId="5" fillId="0" borderId="51" xfId="0" applyNumberFormat="1" applyFont="1" applyFill="1" applyBorder="1" applyAlignment="1">
      <alignment/>
    </xf>
    <xf numFmtId="3" fontId="10" fillId="0" borderId="51" xfId="0" applyNumberFormat="1" applyFont="1" applyFill="1" applyBorder="1" applyAlignment="1">
      <alignment/>
    </xf>
    <xf numFmtId="169" fontId="10" fillId="0" borderId="51" xfId="0" applyNumberFormat="1" applyFont="1" applyFill="1" applyBorder="1" applyAlignment="1">
      <alignment/>
    </xf>
    <xf numFmtId="169" fontId="5" fillId="0" borderId="51" xfId="0" applyNumberFormat="1" applyFont="1" applyFill="1" applyBorder="1" applyAlignment="1">
      <alignment/>
    </xf>
    <xf numFmtId="169" fontId="5" fillId="0" borderId="19" xfId="0" applyNumberFormat="1" applyFont="1" applyFill="1" applyBorder="1" applyAlignment="1">
      <alignment/>
    </xf>
    <xf numFmtId="169" fontId="4" fillId="0" borderId="15" xfId="0" applyNumberFormat="1" applyFont="1" applyFill="1" applyBorder="1" applyAlignment="1">
      <alignment/>
    </xf>
    <xf numFmtId="169" fontId="4" fillId="0" borderId="15" xfId="0" applyNumberFormat="1" applyFont="1" applyFill="1" applyBorder="1" applyAlignment="1">
      <alignment/>
    </xf>
    <xf numFmtId="3" fontId="5" fillId="0" borderId="52" xfId="0" applyNumberFormat="1" applyFont="1" applyFill="1" applyBorder="1" applyAlignment="1">
      <alignment/>
    </xf>
    <xf numFmtId="169" fontId="5" fillId="0" borderId="52" xfId="0" applyNumberFormat="1" applyFont="1" applyFill="1" applyBorder="1" applyAlignment="1">
      <alignment/>
    </xf>
    <xf numFmtId="3" fontId="5" fillId="0" borderId="53" xfId="0" applyNumberFormat="1" applyFont="1" applyFill="1" applyBorder="1" applyAlignment="1">
      <alignment/>
    </xf>
    <xf numFmtId="169" fontId="5" fillId="0" borderId="53" xfId="0" applyNumberFormat="1" applyFont="1" applyFill="1" applyBorder="1" applyAlignment="1">
      <alignment/>
    </xf>
    <xf numFmtId="3" fontId="5" fillId="0" borderId="54" xfId="0" applyNumberFormat="1" applyFont="1" applyFill="1" applyBorder="1" applyAlignment="1">
      <alignment/>
    </xf>
    <xf numFmtId="3" fontId="5" fillId="0" borderId="15" xfId="0" applyNumberFormat="1" applyFont="1" applyFill="1" applyBorder="1" applyAlignment="1">
      <alignment/>
    </xf>
    <xf numFmtId="169" fontId="5" fillId="0" borderId="15" xfId="0" applyNumberFormat="1" applyFont="1" applyFill="1" applyBorder="1" applyAlignment="1">
      <alignment/>
    </xf>
    <xf numFmtId="169" fontId="5" fillId="0" borderId="15" xfId="0" applyNumberFormat="1" applyFont="1" applyFill="1" applyBorder="1" applyAlignment="1">
      <alignment/>
    </xf>
    <xf numFmtId="3" fontId="5" fillId="0" borderId="55" xfId="0" applyNumberFormat="1" applyFont="1" applyFill="1" applyBorder="1" applyAlignment="1">
      <alignment/>
    </xf>
    <xf numFmtId="3" fontId="5" fillId="0" borderId="56" xfId="0" applyNumberFormat="1" applyFont="1" applyFill="1" applyBorder="1" applyAlignment="1">
      <alignment/>
    </xf>
    <xf numFmtId="3" fontId="10" fillId="0" borderId="56" xfId="0" applyNumberFormat="1" applyFont="1" applyFill="1" applyBorder="1" applyAlignment="1">
      <alignment/>
    </xf>
    <xf numFmtId="169" fontId="10" fillId="0" borderId="56" xfId="0" applyNumberFormat="1" applyFont="1" applyFill="1" applyBorder="1" applyAlignment="1">
      <alignment/>
    </xf>
    <xf numFmtId="169" fontId="5" fillId="0" borderId="56" xfId="0" applyNumberFormat="1" applyFont="1" applyFill="1" applyBorder="1" applyAlignment="1">
      <alignment/>
    </xf>
    <xf numFmtId="169" fontId="4" fillId="0" borderId="46" xfId="0" applyNumberFormat="1" applyFont="1" applyFill="1" applyBorder="1" applyAlignment="1">
      <alignment/>
    </xf>
    <xf numFmtId="3" fontId="5" fillId="0" borderId="57" xfId="0" applyNumberFormat="1" applyFont="1" applyFill="1" applyBorder="1" applyAlignment="1">
      <alignment/>
    </xf>
    <xf numFmtId="3" fontId="4" fillId="0" borderId="57" xfId="0" applyNumberFormat="1" applyFont="1" applyFill="1" applyBorder="1" applyAlignment="1">
      <alignment/>
    </xf>
    <xf numFmtId="169" fontId="5" fillId="0" borderId="57" xfId="0" applyNumberFormat="1" applyFont="1" applyFill="1" applyBorder="1" applyAlignment="1">
      <alignment/>
    </xf>
    <xf numFmtId="169" fontId="5" fillId="0" borderId="26" xfId="0" applyNumberFormat="1" applyFont="1" applyFill="1" applyBorder="1" applyAlignment="1">
      <alignment/>
    </xf>
    <xf numFmtId="169" fontId="5" fillId="0" borderId="29" xfId="0" applyNumberFormat="1" applyFont="1" applyFill="1" applyBorder="1" applyAlignment="1">
      <alignment/>
    </xf>
    <xf numFmtId="169" fontId="5" fillId="0" borderId="13" xfId="0" applyNumberFormat="1" applyFont="1" applyFill="1" applyBorder="1" applyAlignment="1">
      <alignment/>
    </xf>
    <xf numFmtId="0" fontId="5" fillId="0" borderId="0" xfId="0" applyFont="1" applyFill="1" applyAlignment="1">
      <alignment horizontal="right"/>
    </xf>
    <xf numFmtId="169" fontId="12" fillId="0" borderId="18" xfId="0" applyNumberFormat="1" applyFont="1" applyBorder="1" applyAlignment="1">
      <alignment/>
    </xf>
    <xf numFmtId="169" fontId="4" fillId="0" borderId="37" xfId="0" applyNumberFormat="1" applyFont="1" applyFill="1" applyBorder="1" applyAlignment="1">
      <alignment/>
    </xf>
    <xf numFmtId="169" fontId="12" fillId="0" borderId="17" xfId="0" applyNumberFormat="1" applyFont="1" applyBorder="1" applyAlignment="1">
      <alignment/>
    </xf>
    <xf numFmtId="169" fontId="15" fillId="0" borderId="17" xfId="0" applyNumberFormat="1" applyFont="1" applyBorder="1" applyAlignment="1">
      <alignment/>
    </xf>
    <xf numFmtId="169" fontId="4" fillId="0" borderId="15" xfId="0" applyNumberFormat="1" applyFont="1" applyBorder="1" applyAlignment="1" applyProtection="1">
      <alignment/>
      <protection locked="0"/>
    </xf>
    <xf numFmtId="169" fontId="4" fillId="0" borderId="15" xfId="0" applyNumberFormat="1" applyFont="1" applyBorder="1" applyAlignment="1" applyProtection="1">
      <alignment/>
      <protection/>
    </xf>
    <xf numFmtId="0" fontId="5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8"/>
  <sheetViews>
    <sheetView tabSelected="1" zoomScale="120" zoomScaleNormal="120" workbookViewId="0" topLeftCell="A1">
      <pane ySplit="7" topLeftCell="BM8" activePane="bottomLeft" state="frozen"/>
      <selection pane="topLeft" activeCell="L56" sqref="L56"/>
      <selection pane="bottomLeft" activeCell="A1" sqref="A1"/>
    </sheetView>
  </sheetViews>
  <sheetFormatPr defaultColWidth="9.125" defaultRowHeight="12.75"/>
  <cols>
    <col min="1" max="1" width="33.00390625" style="2" customWidth="1"/>
    <col min="2" max="2" width="9.625" style="39" customWidth="1"/>
    <col min="3" max="3" width="9.125" style="2" customWidth="1"/>
    <col min="4" max="4" width="9.375" style="2" customWidth="1"/>
    <col min="5" max="7" width="10.00390625" style="2" customWidth="1"/>
    <col min="8" max="9" width="9.375" style="2" customWidth="1"/>
    <col min="10" max="10" width="8.125" style="2" customWidth="1"/>
    <col min="11" max="11" width="8.375" style="2" customWidth="1"/>
    <col min="12" max="16384" width="9.125" style="2" customWidth="1"/>
  </cols>
  <sheetData>
    <row r="1" spans="1:2" ht="12.75">
      <c r="A1" s="124" t="s">
        <v>83</v>
      </c>
      <c r="B1" s="38"/>
    </row>
    <row r="2" ht="12.75">
      <c r="A2" s="2" t="s">
        <v>89</v>
      </c>
    </row>
    <row r="3" spans="8:11" ht="13.5" thickBot="1">
      <c r="H3" s="3"/>
      <c r="I3" s="3"/>
      <c r="K3" s="23"/>
    </row>
    <row r="4" spans="1:11" ht="12.75">
      <c r="A4" s="4"/>
      <c r="B4" s="41">
        <v>2010</v>
      </c>
      <c r="C4" s="26"/>
      <c r="D4" s="26">
        <v>2011</v>
      </c>
      <c r="E4" s="26"/>
      <c r="F4" s="26"/>
      <c r="G4" s="26"/>
      <c r="H4" s="26"/>
      <c r="I4" s="26"/>
      <c r="J4" s="27"/>
      <c r="K4" s="18" t="s">
        <v>76</v>
      </c>
    </row>
    <row r="5" spans="1:11" ht="12.75">
      <c r="A5" s="5" t="s">
        <v>0</v>
      </c>
      <c r="B5" s="40" t="s">
        <v>1</v>
      </c>
      <c r="C5" s="28" t="s">
        <v>91</v>
      </c>
      <c r="D5" s="29"/>
      <c r="E5" s="95"/>
      <c r="F5" s="95"/>
      <c r="G5" s="95"/>
      <c r="H5" s="24" t="s">
        <v>1</v>
      </c>
      <c r="I5" s="24" t="s">
        <v>2</v>
      </c>
      <c r="J5" s="24" t="s">
        <v>2</v>
      </c>
      <c r="K5" s="18" t="s">
        <v>3</v>
      </c>
    </row>
    <row r="6" spans="1:11" ht="13.5" thickBot="1">
      <c r="A6" s="6"/>
      <c r="B6" s="30" t="s">
        <v>90</v>
      </c>
      <c r="C6" s="25" t="s">
        <v>4</v>
      </c>
      <c r="D6" s="25" t="s">
        <v>65</v>
      </c>
      <c r="E6" s="96" t="s">
        <v>60</v>
      </c>
      <c r="F6" s="96" t="s">
        <v>61</v>
      </c>
      <c r="G6" s="96" t="s">
        <v>70</v>
      </c>
      <c r="H6" s="30" t="s">
        <v>90</v>
      </c>
      <c r="I6" s="25" t="s">
        <v>95</v>
      </c>
      <c r="J6" s="25" t="s">
        <v>71</v>
      </c>
      <c r="K6" s="37" t="s">
        <v>5</v>
      </c>
    </row>
    <row r="7" spans="1:11" ht="13.5" thickBot="1">
      <c r="A7" s="6" t="s">
        <v>6</v>
      </c>
      <c r="B7" s="30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19" t="s">
        <v>94</v>
      </c>
      <c r="J7" s="30" t="s">
        <v>62</v>
      </c>
      <c r="K7" s="19" t="s">
        <v>63</v>
      </c>
    </row>
    <row r="8" spans="1:11" ht="12.75">
      <c r="A8" s="8" t="s">
        <v>7</v>
      </c>
      <c r="B8" s="85">
        <f>SUM(B10:B28)</f>
        <v>1400126</v>
      </c>
      <c r="C8" s="9">
        <f>SUM(C10:C28)</f>
        <v>856610</v>
      </c>
      <c r="D8" s="9">
        <f>SUM(D10:D28)</f>
        <v>856610</v>
      </c>
      <c r="E8" s="98" t="s">
        <v>69</v>
      </c>
      <c r="F8" s="9">
        <f>SUM(F10:F28)</f>
        <v>2613</v>
      </c>
      <c r="G8" s="9">
        <f>D8+F8</f>
        <v>859223</v>
      </c>
      <c r="H8" s="9">
        <f>H10+H11+H13+H14+H15+H16+H17+H18+H19+H20+H21+H22+H23+H25+H26+H27+H28</f>
        <v>924189</v>
      </c>
      <c r="I8" s="31">
        <f aca="true" t="shared" si="0" ref="I8:I30">H8/D8*100</f>
        <v>107.88912107026536</v>
      </c>
      <c r="J8" s="31">
        <f>H8/G8*100</f>
        <v>107.56101733775749</v>
      </c>
      <c r="K8" s="53">
        <f>H8/B8*100</f>
        <v>66.00755931966124</v>
      </c>
    </row>
    <row r="9" spans="1:13" ht="12.75">
      <c r="A9" s="10" t="s">
        <v>8</v>
      </c>
      <c r="B9" s="11"/>
      <c r="C9" s="11"/>
      <c r="D9" s="11"/>
      <c r="E9" s="99"/>
      <c r="F9" s="11"/>
      <c r="G9" s="11"/>
      <c r="H9" s="104"/>
      <c r="I9" s="201"/>
      <c r="J9" s="32"/>
      <c r="K9" s="50"/>
      <c r="M9" s="39"/>
    </row>
    <row r="10" spans="1:11" ht="12.75">
      <c r="A10" s="71" t="s">
        <v>58</v>
      </c>
      <c r="B10" s="11">
        <v>174220</v>
      </c>
      <c r="C10" s="11">
        <v>169000</v>
      </c>
      <c r="D10" s="11">
        <v>169000</v>
      </c>
      <c r="E10" s="99" t="s">
        <v>69</v>
      </c>
      <c r="F10" s="11"/>
      <c r="G10" s="11">
        <f aca="true" t="shared" si="1" ref="G10:G28">D10+F10</f>
        <v>169000</v>
      </c>
      <c r="H10" s="11">
        <f>164894+1</f>
        <v>164895</v>
      </c>
      <c r="I10" s="32">
        <f t="shared" si="0"/>
        <v>97.57100591715975</v>
      </c>
      <c r="J10" s="32">
        <f aca="true" t="shared" si="2" ref="J10:J28">H10/G10*100</f>
        <v>97.57100591715975</v>
      </c>
      <c r="K10" s="50">
        <f>H10/B10*100</f>
        <v>94.6475720353576</v>
      </c>
    </row>
    <row r="11" spans="1:11" ht="12.75">
      <c r="A11" s="71" t="s">
        <v>9</v>
      </c>
      <c r="B11" s="11">
        <v>0</v>
      </c>
      <c r="C11" s="11"/>
      <c r="D11" s="11"/>
      <c r="E11" s="99" t="s">
        <v>69</v>
      </c>
      <c r="F11" s="11"/>
      <c r="G11" s="11">
        <f t="shared" si="1"/>
        <v>0</v>
      </c>
      <c r="H11" s="11"/>
      <c r="I11" s="32"/>
      <c r="J11" s="32"/>
      <c r="K11" s="50"/>
    </row>
    <row r="12" spans="1:11" ht="12.75">
      <c r="A12" s="71" t="s">
        <v>10</v>
      </c>
      <c r="B12" s="11">
        <v>0</v>
      </c>
      <c r="C12" s="11"/>
      <c r="D12" s="11"/>
      <c r="E12" s="99" t="s">
        <v>69</v>
      </c>
      <c r="F12" s="11"/>
      <c r="G12" s="11">
        <f t="shared" si="1"/>
        <v>0</v>
      </c>
      <c r="H12" s="11"/>
      <c r="I12" s="32"/>
      <c r="J12" s="32"/>
      <c r="K12" s="50"/>
    </row>
    <row r="13" spans="1:13" ht="12.75">
      <c r="A13" s="10" t="s">
        <v>11</v>
      </c>
      <c r="B13" s="11">
        <v>6620</v>
      </c>
      <c r="C13" s="11">
        <v>4422</v>
      </c>
      <c r="D13" s="11">
        <v>4422</v>
      </c>
      <c r="E13" s="99" t="s">
        <v>69</v>
      </c>
      <c r="F13" s="11"/>
      <c r="G13" s="11">
        <f t="shared" si="1"/>
        <v>4422</v>
      </c>
      <c r="H13" s="11">
        <v>5282</v>
      </c>
      <c r="I13" s="32">
        <f t="shared" si="0"/>
        <v>119.44821347806422</v>
      </c>
      <c r="J13" s="32">
        <f t="shared" si="2"/>
        <v>119.44821347806422</v>
      </c>
      <c r="K13" s="50">
        <f>H13/B13*100</f>
        <v>79.78851963746224</v>
      </c>
      <c r="M13" s="39"/>
    </row>
    <row r="14" spans="1:11" ht="12.75">
      <c r="A14" s="56" t="s">
        <v>54</v>
      </c>
      <c r="B14" s="11">
        <v>1126</v>
      </c>
      <c r="C14" s="11"/>
      <c r="D14" s="11"/>
      <c r="E14" s="99" t="s">
        <v>69</v>
      </c>
      <c r="F14" s="11"/>
      <c r="G14" s="11">
        <f t="shared" si="1"/>
        <v>0</v>
      </c>
      <c r="H14" s="11">
        <v>99</v>
      </c>
      <c r="I14" s="32"/>
      <c r="J14" s="32"/>
      <c r="K14" s="50"/>
    </row>
    <row r="15" spans="1:11" ht="12.75">
      <c r="A15" s="10" t="s">
        <v>12</v>
      </c>
      <c r="B15" s="11">
        <v>18422</v>
      </c>
      <c r="C15" s="11">
        <v>10188</v>
      </c>
      <c r="D15" s="11">
        <v>10188</v>
      </c>
      <c r="E15" s="99" t="s">
        <v>69</v>
      </c>
      <c r="F15" s="11"/>
      <c r="G15" s="11">
        <f t="shared" si="1"/>
        <v>10188</v>
      </c>
      <c r="H15" s="11">
        <f>11569+1</f>
        <v>11570</v>
      </c>
      <c r="I15" s="32">
        <f t="shared" si="0"/>
        <v>113.56497840596779</v>
      </c>
      <c r="J15" s="32">
        <f t="shared" si="2"/>
        <v>113.56497840596779</v>
      </c>
      <c r="K15" s="50">
        <f aca="true" t="shared" si="3" ref="K15:K27">H15/B15*100</f>
        <v>62.80534143958311</v>
      </c>
    </row>
    <row r="16" spans="1:11" ht="12.75">
      <c r="A16" s="10" t="s">
        <v>13</v>
      </c>
      <c r="B16" s="11">
        <v>70710</v>
      </c>
      <c r="C16" s="11">
        <v>47493</v>
      </c>
      <c r="D16" s="11">
        <v>47493</v>
      </c>
      <c r="E16" s="99" t="s">
        <v>69</v>
      </c>
      <c r="F16" s="11"/>
      <c r="G16" s="11">
        <f t="shared" si="1"/>
        <v>47493</v>
      </c>
      <c r="H16" s="11">
        <f>54291</f>
        <v>54291</v>
      </c>
      <c r="I16" s="32">
        <f t="shared" si="0"/>
        <v>114.3136883330175</v>
      </c>
      <c r="J16" s="32">
        <f t="shared" si="2"/>
        <v>114.3136883330175</v>
      </c>
      <c r="K16" s="50">
        <f t="shared" si="3"/>
        <v>76.77980483665677</v>
      </c>
    </row>
    <row r="17" spans="1:11" ht="12.75">
      <c r="A17" s="10" t="s">
        <v>14</v>
      </c>
      <c r="B17" s="11">
        <v>5550</v>
      </c>
      <c r="C17" s="11"/>
      <c r="D17" s="11"/>
      <c r="E17" s="99" t="s">
        <v>69</v>
      </c>
      <c r="F17" s="11"/>
      <c r="G17" s="11">
        <f t="shared" si="1"/>
        <v>0</v>
      </c>
      <c r="H17" s="11">
        <f>2813+1</f>
        <v>2814</v>
      </c>
      <c r="I17" s="32"/>
      <c r="J17" s="32"/>
      <c r="K17" s="50">
        <f t="shared" si="3"/>
        <v>50.70270270270271</v>
      </c>
    </row>
    <row r="18" spans="1:11" ht="12.75">
      <c r="A18" s="10" t="s">
        <v>15</v>
      </c>
      <c r="B18" s="11">
        <v>0</v>
      </c>
      <c r="C18" s="11"/>
      <c r="D18" s="11"/>
      <c r="E18" s="99" t="s">
        <v>69</v>
      </c>
      <c r="F18" s="11"/>
      <c r="G18" s="11">
        <f t="shared" si="1"/>
        <v>0</v>
      </c>
      <c r="H18" s="11"/>
      <c r="I18" s="32"/>
      <c r="J18" s="32"/>
      <c r="K18" s="50"/>
    </row>
    <row r="19" spans="1:11" ht="12.75">
      <c r="A19" s="10" t="s">
        <v>16</v>
      </c>
      <c r="B19" s="11">
        <v>5675</v>
      </c>
      <c r="C19" s="11">
        <v>4610</v>
      </c>
      <c r="D19" s="11">
        <v>4610</v>
      </c>
      <c r="E19" s="99" t="s">
        <v>69</v>
      </c>
      <c r="F19" s="11">
        <v>400</v>
      </c>
      <c r="G19" s="11">
        <f t="shared" si="1"/>
        <v>5010</v>
      </c>
      <c r="H19" s="11">
        <f>4217+1+2584</f>
        <v>6802</v>
      </c>
      <c r="I19" s="32">
        <f t="shared" si="0"/>
        <v>147.54880694143168</v>
      </c>
      <c r="J19" s="32">
        <f t="shared" si="2"/>
        <v>135.76846307385227</v>
      </c>
      <c r="K19" s="50">
        <f t="shared" si="3"/>
        <v>119.8590308370044</v>
      </c>
    </row>
    <row r="20" spans="1:11" ht="12.75">
      <c r="A20" s="10" t="s">
        <v>59</v>
      </c>
      <c r="B20" s="11">
        <v>0</v>
      </c>
      <c r="C20" s="11"/>
      <c r="D20" s="11"/>
      <c r="E20" s="99" t="s">
        <v>69</v>
      </c>
      <c r="F20" s="11"/>
      <c r="G20" s="11">
        <f t="shared" si="1"/>
        <v>0</v>
      </c>
      <c r="H20" s="11"/>
      <c r="I20" s="32"/>
      <c r="J20" s="32"/>
      <c r="K20" s="50"/>
    </row>
    <row r="21" spans="1:11" ht="12.75">
      <c r="A21" s="57" t="s">
        <v>55</v>
      </c>
      <c r="B21" s="11">
        <v>758757</v>
      </c>
      <c r="C21" s="11">
        <v>338766</v>
      </c>
      <c r="D21" s="11">
        <v>338766</v>
      </c>
      <c r="E21" s="99" t="s">
        <v>69</v>
      </c>
      <c r="F21" s="11"/>
      <c r="G21" s="11">
        <f t="shared" si="1"/>
        <v>338766</v>
      </c>
      <c r="H21" s="11">
        <f>513440+1</f>
        <v>513441</v>
      </c>
      <c r="I21" s="32">
        <f t="shared" si="0"/>
        <v>151.56214023839465</v>
      </c>
      <c r="J21" s="32">
        <f t="shared" si="2"/>
        <v>151.56214023839465</v>
      </c>
      <c r="K21" s="50">
        <f t="shared" si="3"/>
        <v>67.66870025581314</v>
      </c>
    </row>
    <row r="22" spans="1:11" ht="12.75">
      <c r="A22" s="10" t="s">
        <v>17</v>
      </c>
      <c r="B22" s="11">
        <v>247682</v>
      </c>
      <c r="C22" s="11">
        <v>106480</v>
      </c>
      <c r="D22" s="11">
        <v>106480</v>
      </c>
      <c r="E22" s="99" t="s">
        <v>69</v>
      </c>
      <c r="F22" s="11"/>
      <c r="G22" s="11">
        <f t="shared" si="1"/>
        <v>106480</v>
      </c>
      <c r="H22" s="11">
        <v>0</v>
      </c>
      <c r="I22" s="32">
        <f t="shared" si="0"/>
        <v>0</v>
      </c>
      <c r="J22" s="32">
        <f t="shared" si="2"/>
        <v>0</v>
      </c>
      <c r="K22" s="50">
        <f t="shared" si="3"/>
        <v>0</v>
      </c>
    </row>
    <row r="23" spans="1:11" ht="12.75">
      <c r="A23" s="57" t="s">
        <v>56</v>
      </c>
      <c r="B23" s="11">
        <v>0</v>
      </c>
      <c r="C23" s="11"/>
      <c r="D23" s="11"/>
      <c r="E23" s="99" t="s">
        <v>69</v>
      </c>
      <c r="F23" s="11"/>
      <c r="G23" s="11">
        <f t="shared" si="1"/>
        <v>0</v>
      </c>
      <c r="H23" s="11"/>
      <c r="I23" s="32"/>
      <c r="J23" s="32"/>
      <c r="K23" s="50"/>
    </row>
    <row r="24" spans="1:11" ht="12.75" customHeight="1">
      <c r="A24" s="10" t="s">
        <v>18</v>
      </c>
      <c r="B24" s="11">
        <v>0</v>
      </c>
      <c r="C24" s="11"/>
      <c r="D24" s="11"/>
      <c r="E24" s="99" t="s">
        <v>69</v>
      </c>
      <c r="F24" s="11"/>
      <c r="G24" s="11">
        <f t="shared" si="1"/>
        <v>0</v>
      </c>
      <c r="H24" s="11"/>
      <c r="I24" s="32"/>
      <c r="J24" s="32"/>
      <c r="K24" s="50"/>
    </row>
    <row r="25" spans="1:11" ht="12.75" customHeight="1">
      <c r="A25" s="10" t="s">
        <v>87</v>
      </c>
      <c r="B25" s="11">
        <v>78151</v>
      </c>
      <c r="C25" s="72">
        <v>106184</v>
      </c>
      <c r="D25" s="11">
        <v>106996</v>
      </c>
      <c r="E25" s="99" t="s">
        <v>69</v>
      </c>
      <c r="F25" s="11"/>
      <c r="G25" s="11">
        <f t="shared" si="1"/>
        <v>106996</v>
      </c>
      <c r="H25" s="11">
        <f>43156+1</f>
        <v>43157</v>
      </c>
      <c r="I25" s="32">
        <f t="shared" si="0"/>
        <v>40.33515271598938</v>
      </c>
      <c r="J25" s="32">
        <f t="shared" si="2"/>
        <v>40.33515271598938</v>
      </c>
      <c r="K25" s="50">
        <f t="shared" si="3"/>
        <v>55.22258192473545</v>
      </c>
    </row>
    <row r="26" spans="1:11" ht="12.75" customHeight="1">
      <c r="A26" s="10" t="s">
        <v>57</v>
      </c>
      <c r="B26" s="11">
        <v>20461</v>
      </c>
      <c r="C26" s="72">
        <v>42653</v>
      </c>
      <c r="D26" s="11">
        <v>42653</v>
      </c>
      <c r="E26" s="99" t="s">
        <v>69</v>
      </c>
      <c r="F26" s="11"/>
      <c r="G26" s="11">
        <f t="shared" si="1"/>
        <v>42653</v>
      </c>
      <c r="H26" s="11">
        <f>20673+1</f>
        <v>20674</v>
      </c>
      <c r="I26" s="32">
        <f t="shared" si="0"/>
        <v>48.47021311513844</v>
      </c>
      <c r="J26" s="32">
        <f t="shared" si="2"/>
        <v>48.47021311513844</v>
      </c>
      <c r="K26" s="50">
        <f t="shared" si="3"/>
        <v>101.0410048384732</v>
      </c>
    </row>
    <row r="27" spans="1:11" ht="12.75" customHeight="1">
      <c r="A27" s="71" t="s">
        <v>88</v>
      </c>
      <c r="B27" s="109">
        <v>899</v>
      </c>
      <c r="C27" s="72">
        <v>26814</v>
      </c>
      <c r="D27" s="72">
        <v>26002</v>
      </c>
      <c r="E27" s="99" t="s">
        <v>69</v>
      </c>
      <c r="F27" s="72"/>
      <c r="G27" s="72">
        <f t="shared" si="1"/>
        <v>26002</v>
      </c>
      <c r="H27" s="72">
        <f>98262+1</f>
        <v>98263</v>
      </c>
      <c r="I27" s="73">
        <f t="shared" si="0"/>
        <v>377.90554572725176</v>
      </c>
      <c r="J27" s="73">
        <f t="shared" si="2"/>
        <v>377.90554572725176</v>
      </c>
      <c r="K27" s="74">
        <f t="shared" si="3"/>
        <v>10930.255839822024</v>
      </c>
    </row>
    <row r="28" spans="1:11" ht="13.5" thickBot="1">
      <c r="A28" s="6" t="s">
        <v>19</v>
      </c>
      <c r="B28" s="110">
        <v>11853</v>
      </c>
      <c r="C28" s="12"/>
      <c r="D28" s="12"/>
      <c r="E28" s="30" t="s">
        <v>69</v>
      </c>
      <c r="F28" s="12">
        <f>1604+609</f>
        <v>2213</v>
      </c>
      <c r="G28" s="12">
        <f t="shared" si="1"/>
        <v>2213</v>
      </c>
      <c r="H28" s="12">
        <f>2901+1-1</f>
        <v>2901</v>
      </c>
      <c r="I28" s="63"/>
      <c r="J28" s="70">
        <f t="shared" si="2"/>
        <v>131.08901943063717</v>
      </c>
      <c r="K28" s="61">
        <v>0</v>
      </c>
    </row>
    <row r="29" spans="1:11" ht="12.75">
      <c r="A29" s="5"/>
      <c r="B29" s="13"/>
      <c r="C29" s="13"/>
      <c r="D29" s="13"/>
      <c r="E29" s="13"/>
      <c r="F29" s="13"/>
      <c r="G29" s="13"/>
      <c r="H29" s="13"/>
      <c r="I29" s="33"/>
      <c r="J29" s="33"/>
      <c r="K29" s="51"/>
    </row>
    <row r="30" spans="1:19" ht="12.75">
      <c r="A30" s="8" t="s">
        <v>20</v>
      </c>
      <c r="B30" s="9">
        <f>B32+B38</f>
        <v>3322409</v>
      </c>
      <c r="C30" s="9">
        <f>C32+C38</f>
        <v>2169845</v>
      </c>
      <c r="D30" s="9">
        <f>D32+D38</f>
        <v>3275875</v>
      </c>
      <c r="E30" s="9">
        <f>E32+E38</f>
        <v>723349</v>
      </c>
      <c r="F30" s="9">
        <f>F32+F38</f>
        <v>1009</v>
      </c>
      <c r="G30" s="9">
        <f aca="true" t="shared" si="4" ref="G30:G57">D30+E30+F30</f>
        <v>4000233</v>
      </c>
      <c r="H30" s="9">
        <f>H32+H38</f>
        <v>2956951</v>
      </c>
      <c r="I30" s="31">
        <f t="shared" si="0"/>
        <v>90.26446369290647</v>
      </c>
      <c r="J30" s="31">
        <f>H30/G30*100</f>
        <v>73.91946919091963</v>
      </c>
      <c r="K30" s="53">
        <f>H30/B30*100</f>
        <v>89.00021038950953</v>
      </c>
      <c r="M30" s="105"/>
      <c r="N30" s="105"/>
      <c r="O30" s="105"/>
      <c r="P30" s="105"/>
      <c r="Q30" s="105"/>
      <c r="R30" s="105"/>
      <c r="S30" s="105"/>
    </row>
    <row r="31" spans="1:19" ht="12.75">
      <c r="A31" s="10" t="s">
        <v>21</v>
      </c>
      <c r="B31" s="11"/>
      <c r="C31" s="11"/>
      <c r="D31" s="11"/>
      <c r="E31" s="11"/>
      <c r="F31" s="11"/>
      <c r="G31" s="11"/>
      <c r="H31" s="11"/>
      <c r="I31" s="32"/>
      <c r="J31" s="32"/>
      <c r="K31" s="50"/>
      <c r="M31" s="105"/>
      <c r="N31" s="105"/>
      <c r="O31" s="105"/>
      <c r="P31" s="105"/>
      <c r="Q31" s="105"/>
      <c r="R31" s="105"/>
      <c r="S31" s="105"/>
    </row>
    <row r="32" spans="1:19" ht="12.75">
      <c r="A32" s="8" t="s">
        <v>22</v>
      </c>
      <c r="B32" s="9">
        <f>B34+B35+B36</f>
        <v>918755</v>
      </c>
      <c r="C32" s="45">
        <f>C34+C35+C36</f>
        <v>247631</v>
      </c>
      <c r="D32" s="45">
        <f>D34+D35+D36</f>
        <v>594768</v>
      </c>
      <c r="E32" s="45">
        <f>E34+E35+E36</f>
        <v>366662</v>
      </c>
      <c r="F32" s="45">
        <f>F34+F35+F36</f>
        <v>0</v>
      </c>
      <c r="G32" s="45">
        <f t="shared" si="4"/>
        <v>961430</v>
      </c>
      <c r="H32" s="45">
        <f>H34+H35+H36</f>
        <v>691621</v>
      </c>
      <c r="I32" s="31">
        <f>H32/D32*100</f>
        <v>116.28416458182014</v>
      </c>
      <c r="J32" s="31">
        <f>H32/G32*100</f>
        <v>71.93669845958624</v>
      </c>
      <c r="K32" s="53">
        <f>H32/B32*100</f>
        <v>75.27806651392373</v>
      </c>
      <c r="M32" s="105"/>
      <c r="N32" s="105"/>
      <c r="O32" s="105"/>
      <c r="P32" s="105"/>
      <c r="Q32" s="105"/>
      <c r="R32" s="105"/>
      <c r="S32" s="105"/>
    </row>
    <row r="33" spans="1:19" ht="12.75">
      <c r="A33" s="10" t="s">
        <v>23</v>
      </c>
      <c r="B33" s="11"/>
      <c r="C33" s="11"/>
      <c r="D33" s="11"/>
      <c r="E33" s="11"/>
      <c r="F33" s="11"/>
      <c r="G33" s="11"/>
      <c r="H33" s="11"/>
      <c r="I33" s="32"/>
      <c r="J33" s="32"/>
      <c r="K33" s="50"/>
      <c r="M33" s="105"/>
      <c r="N33" s="105"/>
      <c r="O33" s="105"/>
      <c r="P33" s="105"/>
      <c r="Q33" s="105"/>
      <c r="R33" s="105"/>
      <c r="S33" s="105"/>
    </row>
    <row r="34" spans="1:19" ht="12.75">
      <c r="A34" s="10" t="s">
        <v>24</v>
      </c>
      <c r="B34" s="11">
        <v>772047</v>
      </c>
      <c r="C34" s="11">
        <v>203261</v>
      </c>
      <c r="D34" s="11">
        <v>518137</v>
      </c>
      <c r="E34" s="11">
        <v>330247</v>
      </c>
      <c r="F34" s="11"/>
      <c r="G34" s="11">
        <f t="shared" si="4"/>
        <v>848384</v>
      </c>
      <c r="H34" s="11">
        <v>634274</v>
      </c>
      <c r="I34" s="32">
        <f aca="true" t="shared" si="5" ref="I34:I60">H34/D34*100</f>
        <v>122.4143421527511</v>
      </c>
      <c r="J34" s="32">
        <f>H34/G34*100</f>
        <v>74.76260749849125</v>
      </c>
      <c r="K34" s="50">
        <f>H34/B34*100</f>
        <v>82.15484290464181</v>
      </c>
      <c r="M34" s="105"/>
      <c r="N34" s="105"/>
      <c r="O34" s="105"/>
      <c r="P34" s="105"/>
      <c r="Q34" s="105"/>
      <c r="R34" s="105"/>
      <c r="S34" s="105"/>
    </row>
    <row r="35" spans="1:19" ht="12.75">
      <c r="A35" s="10" t="s">
        <v>25</v>
      </c>
      <c r="B35" s="11">
        <v>146708</v>
      </c>
      <c r="C35" s="11">
        <v>44370</v>
      </c>
      <c r="D35" s="11">
        <f>50+76581</f>
        <v>76631</v>
      </c>
      <c r="E35" s="11">
        <f>36414+1</f>
        <v>36415</v>
      </c>
      <c r="F35" s="11"/>
      <c r="G35" s="11">
        <f t="shared" si="4"/>
        <v>113046</v>
      </c>
      <c r="H35" s="11">
        <f>57346+1</f>
        <v>57347</v>
      </c>
      <c r="I35" s="32">
        <f t="shared" si="5"/>
        <v>74.83524944213178</v>
      </c>
      <c r="J35" s="32">
        <f>H35/G35*100</f>
        <v>50.728906816694085</v>
      </c>
      <c r="K35" s="50">
        <f>H35/B35*100</f>
        <v>39.089211222291894</v>
      </c>
      <c r="M35" s="105"/>
      <c r="N35" s="105"/>
      <c r="O35" s="105"/>
      <c r="P35" s="105"/>
      <c r="Q35" s="105"/>
      <c r="R35" s="105"/>
      <c r="S35" s="105"/>
    </row>
    <row r="36" spans="1:19" ht="12.75">
      <c r="A36" s="14" t="s">
        <v>26</v>
      </c>
      <c r="B36" s="15">
        <v>0</v>
      </c>
      <c r="C36" s="15">
        <v>0</v>
      </c>
      <c r="D36" s="15"/>
      <c r="E36" s="15"/>
      <c r="F36" s="15"/>
      <c r="G36" s="15">
        <f t="shared" si="4"/>
        <v>0</v>
      </c>
      <c r="H36" s="15"/>
      <c r="I36" s="34"/>
      <c r="J36" s="34"/>
      <c r="K36" s="49"/>
      <c r="M36" s="105"/>
      <c r="N36" s="105"/>
      <c r="O36" s="105"/>
      <c r="P36" s="105"/>
      <c r="Q36" s="105"/>
      <c r="R36" s="105"/>
      <c r="S36" s="105"/>
    </row>
    <row r="37" spans="1:19" ht="12.75">
      <c r="A37" s="5"/>
      <c r="B37" s="13"/>
      <c r="C37" s="13"/>
      <c r="D37" s="13"/>
      <c r="E37" s="13"/>
      <c r="F37" s="13"/>
      <c r="G37" s="13">
        <f t="shared" si="4"/>
        <v>0</v>
      </c>
      <c r="H37" s="13"/>
      <c r="I37" s="33"/>
      <c r="J37" s="33"/>
      <c r="K37" s="51"/>
      <c r="M37" s="105"/>
      <c r="N37" s="105"/>
      <c r="O37" s="105"/>
      <c r="P37" s="105"/>
      <c r="Q37" s="105"/>
      <c r="R37" s="105"/>
      <c r="S37" s="105"/>
    </row>
    <row r="38" spans="1:19" ht="12.75">
      <c r="A38" s="8" t="s">
        <v>27</v>
      </c>
      <c r="B38" s="9">
        <f>B40+B43+B44+B45+B46</f>
        <v>2403654</v>
      </c>
      <c r="C38" s="9">
        <f>C40+C43+C44+C45+C46</f>
        <v>1922214</v>
      </c>
      <c r="D38" s="9">
        <f>D40+D43+D44+D45+D46</f>
        <v>2681107</v>
      </c>
      <c r="E38" s="9">
        <f>E40+E43+E44+E45+E46</f>
        <v>356687</v>
      </c>
      <c r="F38" s="9">
        <f>F40+F43+F44+F45+F46</f>
        <v>1009</v>
      </c>
      <c r="G38" s="121">
        <f t="shared" si="4"/>
        <v>3038803</v>
      </c>
      <c r="H38" s="9">
        <f>H40+H43+H44+H45+H46</f>
        <v>2265330</v>
      </c>
      <c r="I38" s="31">
        <f t="shared" si="5"/>
        <v>84.49233842588156</v>
      </c>
      <c r="J38" s="31">
        <f>H38/G38*100</f>
        <v>74.54678700791068</v>
      </c>
      <c r="K38" s="53">
        <f>H38/B38*100</f>
        <v>94.2452615892304</v>
      </c>
      <c r="M38" s="105"/>
      <c r="N38" s="105"/>
      <c r="O38" s="105"/>
      <c r="P38" s="105"/>
      <c r="Q38" s="105"/>
      <c r="R38" s="105"/>
      <c r="S38" s="105"/>
    </row>
    <row r="39" spans="1:19" ht="12.75">
      <c r="A39" s="10" t="s">
        <v>23</v>
      </c>
      <c r="B39" s="11"/>
      <c r="C39" s="11"/>
      <c r="D39" s="11"/>
      <c r="E39" s="11"/>
      <c r="F39" s="120"/>
      <c r="G39" s="122"/>
      <c r="H39" s="123"/>
      <c r="I39" s="201"/>
      <c r="J39" s="32"/>
      <c r="K39" s="50"/>
      <c r="M39" s="105"/>
      <c r="N39" s="105"/>
      <c r="O39" s="105"/>
      <c r="P39" s="105"/>
      <c r="Q39" s="105"/>
      <c r="R39" s="105"/>
      <c r="S39" s="105"/>
    </row>
    <row r="40" spans="1:19" ht="12.75">
      <c r="A40" s="16" t="s">
        <v>28</v>
      </c>
      <c r="B40" s="17">
        <f>B41+B42</f>
        <v>674453</v>
      </c>
      <c r="C40" s="17">
        <f>C41+C42</f>
        <v>606912</v>
      </c>
      <c r="D40" s="17">
        <f>D41+D42</f>
        <v>544424</v>
      </c>
      <c r="E40" s="17">
        <f>E41+E42</f>
        <v>18063</v>
      </c>
      <c r="F40" s="17">
        <f>F41+F42</f>
        <v>390</v>
      </c>
      <c r="G40" s="17">
        <f t="shared" si="4"/>
        <v>562877</v>
      </c>
      <c r="H40" s="88">
        <f>H41+H42</f>
        <v>544862</v>
      </c>
      <c r="I40" s="128">
        <f t="shared" si="5"/>
        <v>100.08045200064655</v>
      </c>
      <c r="J40" s="35">
        <f aca="true" t="shared" si="6" ref="J40:J46">H40/G40*100</f>
        <v>96.79947839403636</v>
      </c>
      <c r="K40" s="54">
        <f aca="true" t="shared" si="7" ref="K40:K60">H40/B40*100</f>
        <v>80.78576268472378</v>
      </c>
      <c r="M40" s="106"/>
      <c r="N40" s="106"/>
      <c r="O40" s="105"/>
      <c r="P40" s="105"/>
      <c r="Q40" s="105"/>
      <c r="R40" s="105"/>
      <c r="S40" s="105"/>
    </row>
    <row r="41" spans="1:19" ht="12.75">
      <c r="A41" s="10" t="s">
        <v>29</v>
      </c>
      <c r="B41" s="11">
        <v>648681</v>
      </c>
      <c r="C41" s="11">
        <v>589379</v>
      </c>
      <c r="D41" s="11">
        <v>527683</v>
      </c>
      <c r="E41" s="11">
        <v>16492</v>
      </c>
      <c r="F41" s="11">
        <v>387</v>
      </c>
      <c r="G41" s="11">
        <f t="shared" si="4"/>
        <v>544562</v>
      </c>
      <c r="H41" s="58">
        <f>533123+1</f>
        <v>533124</v>
      </c>
      <c r="I41" s="126">
        <f t="shared" si="5"/>
        <v>101.03111148170399</v>
      </c>
      <c r="J41" s="32">
        <f t="shared" si="6"/>
        <v>97.89959637286479</v>
      </c>
      <c r="K41" s="50">
        <f t="shared" si="7"/>
        <v>82.18585098068235</v>
      </c>
      <c r="M41" s="105"/>
      <c r="N41" s="107"/>
      <c r="O41" s="105"/>
      <c r="P41" s="105"/>
      <c r="Q41" s="105"/>
      <c r="R41" s="105"/>
      <c r="S41" s="105"/>
    </row>
    <row r="42" spans="1:19" ht="12.75">
      <c r="A42" s="44" t="s">
        <v>30</v>
      </c>
      <c r="B42" s="11">
        <v>25772</v>
      </c>
      <c r="C42" s="11">
        <v>17533</v>
      </c>
      <c r="D42" s="11">
        <v>16741</v>
      </c>
      <c r="E42" s="11">
        <v>1571</v>
      </c>
      <c r="F42" s="11">
        <v>3</v>
      </c>
      <c r="G42" s="11">
        <f t="shared" si="4"/>
        <v>18315</v>
      </c>
      <c r="H42" s="58">
        <f>11737+1</f>
        <v>11738</v>
      </c>
      <c r="I42" s="126">
        <f t="shared" si="5"/>
        <v>70.11528582521952</v>
      </c>
      <c r="J42" s="32">
        <f t="shared" si="6"/>
        <v>64.08954408954409</v>
      </c>
      <c r="K42" s="50">
        <f t="shared" si="7"/>
        <v>45.54555331367375</v>
      </c>
      <c r="M42" s="106"/>
      <c r="N42" s="107"/>
      <c r="O42" s="105"/>
      <c r="P42" s="105"/>
      <c r="Q42" s="105"/>
      <c r="R42" s="105"/>
      <c r="S42" s="105"/>
    </row>
    <row r="43" spans="1:19" ht="12.75">
      <c r="A43" s="20" t="s">
        <v>31</v>
      </c>
      <c r="B43" s="21">
        <v>223186</v>
      </c>
      <c r="C43" s="21">
        <v>206237</v>
      </c>
      <c r="D43" s="21">
        <v>184936</v>
      </c>
      <c r="E43" s="17">
        <f>6060+1</f>
        <v>6061</v>
      </c>
      <c r="F43" s="11">
        <f>133-1</f>
        <v>132</v>
      </c>
      <c r="G43" s="21">
        <f t="shared" si="4"/>
        <v>191129</v>
      </c>
      <c r="H43" s="101">
        <v>183658</v>
      </c>
      <c r="I43" s="127">
        <f t="shared" si="5"/>
        <v>99.30895012328588</v>
      </c>
      <c r="J43" s="35">
        <f t="shared" si="6"/>
        <v>96.0911217031429</v>
      </c>
      <c r="K43" s="54">
        <f t="shared" si="7"/>
        <v>82.28921168890521</v>
      </c>
      <c r="M43" s="105"/>
      <c r="N43" s="105"/>
      <c r="O43" s="105"/>
      <c r="P43" s="105"/>
      <c r="Q43" s="105"/>
      <c r="R43" s="105"/>
      <c r="S43" s="105"/>
    </row>
    <row r="44" spans="1:11" ht="12.75">
      <c r="A44" s="20" t="s">
        <v>32</v>
      </c>
      <c r="B44" s="21">
        <v>13015</v>
      </c>
      <c r="C44" s="21">
        <v>5893</v>
      </c>
      <c r="D44" s="21">
        <v>5277</v>
      </c>
      <c r="E44" s="17">
        <f>186+1</f>
        <v>187</v>
      </c>
      <c r="F44" s="21">
        <f>3+1</f>
        <v>4</v>
      </c>
      <c r="G44" s="21">
        <f t="shared" si="4"/>
        <v>5468</v>
      </c>
      <c r="H44" s="101">
        <v>5332</v>
      </c>
      <c r="I44" s="127">
        <f t="shared" si="5"/>
        <v>101.0422588592003</v>
      </c>
      <c r="J44" s="35">
        <f t="shared" si="6"/>
        <v>97.51280175566936</v>
      </c>
      <c r="K44" s="54">
        <f t="shared" si="7"/>
        <v>40.968113714944295</v>
      </c>
    </row>
    <row r="45" spans="1:11" ht="12.75">
      <c r="A45" s="16" t="s">
        <v>33</v>
      </c>
      <c r="B45" s="101">
        <v>0</v>
      </c>
      <c r="C45" s="17">
        <v>0</v>
      </c>
      <c r="D45" s="21">
        <v>0</v>
      </c>
      <c r="E45" s="35"/>
      <c r="F45" s="36"/>
      <c r="G45" s="21">
        <f t="shared" si="4"/>
        <v>0</v>
      </c>
      <c r="H45" s="101">
        <v>0</v>
      </c>
      <c r="I45" s="127"/>
      <c r="J45" s="32"/>
      <c r="K45" s="50"/>
    </row>
    <row r="46" spans="1:11" ht="12.75">
      <c r="A46" s="16" t="s">
        <v>34</v>
      </c>
      <c r="B46" s="17">
        <f>B48+B49+B50+B52+B56</f>
        <v>1493000</v>
      </c>
      <c r="C46" s="17">
        <f>C48+C49+C50+C52+C56</f>
        <v>1103172</v>
      </c>
      <c r="D46" s="17">
        <f>D48+D49+D50+D52+D56</f>
        <v>1946470</v>
      </c>
      <c r="E46" s="17">
        <f>E48+E49+E50+E52+E56</f>
        <v>332376</v>
      </c>
      <c r="F46" s="17">
        <f>F48+F49+F50+F52+F56</f>
        <v>483</v>
      </c>
      <c r="G46" s="17">
        <f t="shared" si="4"/>
        <v>2279329</v>
      </c>
      <c r="H46" s="88">
        <f>H48+H49+H50+H52+H56</f>
        <v>1531478</v>
      </c>
      <c r="I46" s="128">
        <f t="shared" si="5"/>
        <v>78.67976388025502</v>
      </c>
      <c r="J46" s="35">
        <f t="shared" si="6"/>
        <v>67.1898615776836</v>
      </c>
      <c r="K46" s="54">
        <f t="shared" si="7"/>
        <v>102.57722705961152</v>
      </c>
    </row>
    <row r="47" spans="1:11" ht="12.75">
      <c r="A47" s="10" t="s">
        <v>35</v>
      </c>
      <c r="B47" s="11"/>
      <c r="C47" s="11"/>
      <c r="D47" s="11"/>
      <c r="E47" s="11"/>
      <c r="F47" s="11"/>
      <c r="G47" s="11"/>
      <c r="H47" s="130"/>
      <c r="I47" s="126"/>
      <c r="J47" s="32"/>
      <c r="K47" s="50"/>
    </row>
    <row r="48" spans="1:11" ht="12.75">
      <c r="A48" s="10" t="s">
        <v>36</v>
      </c>
      <c r="B48" s="11">
        <v>45230</v>
      </c>
      <c r="C48" s="11">
        <v>17968</v>
      </c>
      <c r="D48" s="11">
        <f>230+72+25518</f>
        <v>25820</v>
      </c>
      <c r="E48" s="11">
        <v>1295</v>
      </c>
      <c r="F48" s="11"/>
      <c r="G48" s="11">
        <f t="shared" si="4"/>
        <v>27115</v>
      </c>
      <c r="H48" s="58">
        <f>146+1+21+17403</f>
        <v>17571</v>
      </c>
      <c r="I48" s="126">
        <f t="shared" si="5"/>
        <v>68.05189775367931</v>
      </c>
      <c r="J48" s="32">
        <f aca="true" t="shared" si="8" ref="J48:J60">H48/G48*100</f>
        <v>64.80177023787571</v>
      </c>
      <c r="K48" s="50">
        <f t="shared" si="7"/>
        <v>38.84810966172894</v>
      </c>
    </row>
    <row r="49" spans="1:11" ht="12.75">
      <c r="A49" s="10" t="s">
        <v>37</v>
      </c>
      <c r="B49" s="11">
        <v>41722</v>
      </c>
      <c r="C49" s="11">
        <v>42254</v>
      </c>
      <c r="D49" s="11">
        <f>744+37505</f>
        <v>38249</v>
      </c>
      <c r="E49" s="58">
        <f>610+1</f>
        <v>611</v>
      </c>
      <c r="F49" s="11"/>
      <c r="G49" s="11">
        <f t="shared" si="4"/>
        <v>38860</v>
      </c>
      <c r="H49" s="58">
        <f>461+32030+1</f>
        <v>32492</v>
      </c>
      <c r="I49" s="126">
        <f t="shared" si="5"/>
        <v>84.9486261078721</v>
      </c>
      <c r="J49" s="32">
        <f t="shared" si="8"/>
        <v>83.61296963458568</v>
      </c>
      <c r="K49" s="50">
        <f t="shared" si="7"/>
        <v>77.87737884089928</v>
      </c>
    </row>
    <row r="50" spans="1:11" ht="12.75">
      <c r="A50" s="10" t="s">
        <v>38</v>
      </c>
      <c r="B50" s="11">
        <v>1208001</v>
      </c>
      <c r="C50" s="11">
        <v>876056</v>
      </c>
      <c r="D50" s="11">
        <f>509+311+1540351</f>
        <v>1541171</v>
      </c>
      <c r="E50" s="11">
        <f>199945+1</f>
        <v>199946</v>
      </c>
      <c r="F50" s="11"/>
      <c r="G50" s="11">
        <f t="shared" si="4"/>
        <v>1741117</v>
      </c>
      <c r="H50" s="58">
        <f>1222242+1+257+1+205</f>
        <v>1222706</v>
      </c>
      <c r="I50" s="126">
        <f t="shared" si="5"/>
        <v>79.33616710929546</v>
      </c>
      <c r="J50" s="32">
        <f t="shared" si="8"/>
        <v>70.22537830599552</v>
      </c>
      <c r="K50" s="50">
        <f t="shared" si="7"/>
        <v>101.21730031680438</v>
      </c>
    </row>
    <row r="51" spans="1:11" ht="12.75">
      <c r="A51" s="10" t="s">
        <v>39</v>
      </c>
      <c r="B51" s="11">
        <v>125121</v>
      </c>
      <c r="C51" s="11">
        <v>10956</v>
      </c>
      <c r="D51" s="11">
        <v>132407</v>
      </c>
      <c r="E51" s="11"/>
      <c r="F51" s="11"/>
      <c r="G51" s="11">
        <f t="shared" si="4"/>
        <v>132407</v>
      </c>
      <c r="H51" s="58">
        <f>118098+1</f>
        <v>118099</v>
      </c>
      <c r="I51" s="126">
        <f t="shared" si="5"/>
        <v>89.19392479249586</v>
      </c>
      <c r="J51" s="32">
        <f t="shared" si="8"/>
        <v>89.19392479249586</v>
      </c>
      <c r="K51" s="50">
        <f t="shared" si="7"/>
        <v>94.38783257806443</v>
      </c>
    </row>
    <row r="52" spans="1:11" ht="12.75">
      <c r="A52" s="10" t="s">
        <v>40</v>
      </c>
      <c r="B52" s="11">
        <v>121386</v>
      </c>
      <c r="C52" s="11">
        <v>95915</v>
      </c>
      <c r="D52" s="11">
        <f>91965+1700+20</f>
        <v>93685</v>
      </c>
      <c r="E52" s="11">
        <v>22145</v>
      </c>
      <c r="F52" s="11">
        <f>280+120</f>
        <v>400</v>
      </c>
      <c r="G52" s="11">
        <f t="shared" si="4"/>
        <v>116230</v>
      </c>
      <c r="H52" s="58">
        <f>1229+1+88402</f>
        <v>89632</v>
      </c>
      <c r="I52" s="126">
        <f t="shared" si="5"/>
        <v>95.67380050168116</v>
      </c>
      <c r="J52" s="32">
        <f t="shared" si="8"/>
        <v>77.11606297857696</v>
      </c>
      <c r="K52" s="50">
        <f t="shared" si="7"/>
        <v>73.84047583741123</v>
      </c>
    </row>
    <row r="53" spans="1:11" ht="12.75">
      <c r="A53" s="10" t="s">
        <v>41</v>
      </c>
      <c r="B53" s="11">
        <v>85443</v>
      </c>
      <c r="C53" s="11">
        <v>56033</v>
      </c>
      <c r="D53" s="11">
        <f>1700+48018</f>
        <v>49718</v>
      </c>
      <c r="E53" s="11">
        <v>18040</v>
      </c>
      <c r="F53" s="11">
        <f>280+120</f>
        <v>400</v>
      </c>
      <c r="G53" s="11">
        <f t="shared" si="4"/>
        <v>68158</v>
      </c>
      <c r="H53" s="58">
        <f>56919+1+1229</f>
        <v>58149</v>
      </c>
      <c r="I53" s="126">
        <f t="shared" si="5"/>
        <v>116.95764109578019</v>
      </c>
      <c r="J53" s="32">
        <f t="shared" si="8"/>
        <v>85.31500337451217</v>
      </c>
      <c r="K53" s="50">
        <f t="shared" si="7"/>
        <v>68.05589691373196</v>
      </c>
    </row>
    <row r="54" spans="1:11" ht="12.75">
      <c r="A54" s="10" t="s">
        <v>75</v>
      </c>
      <c r="B54" s="11">
        <v>2767</v>
      </c>
      <c r="C54" s="11">
        <v>90</v>
      </c>
      <c r="D54" s="11">
        <v>859</v>
      </c>
      <c r="E54" s="11">
        <v>52</v>
      </c>
      <c r="F54" s="11"/>
      <c r="G54" s="11">
        <f t="shared" si="4"/>
        <v>911</v>
      </c>
      <c r="H54" s="58">
        <v>796</v>
      </c>
      <c r="I54" s="126">
        <f t="shared" si="5"/>
        <v>92.66589057043073</v>
      </c>
      <c r="J54" s="32">
        <f t="shared" si="8"/>
        <v>87.37650933040615</v>
      </c>
      <c r="K54" s="50">
        <f t="shared" si="7"/>
        <v>28.767618359233825</v>
      </c>
    </row>
    <row r="55" spans="1:11" ht="12.75">
      <c r="A55" s="10" t="s">
        <v>43</v>
      </c>
      <c r="B55" s="11">
        <v>29938</v>
      </c>
      <c r="C55" s="11">
        <v>36299</v>
      </c>
      <c r="D55" s="11">
        <f>35378+20</f>
        <v>35398</v>
      </c>
      <c r="E55" s="11">
        <f>3932+1</f>
        <v>3933</v>
      </c>
      <c r="F55" s="11"/>
      <c r="G55" s="11">
        <f t="shared" si="4"/>
        <v>39331</v>
      </c>
      <c r="H55" s="58">
        <v>23800</v>
      </c>
      <c r="I55" s="126">
        <f t="shared" si="5"/>
        <v>67.23543703034069</v>
      </c>
      <c r="J55" s="32">
        <f t="shared" si="8"/>
        <v>60.51206427499937</v>
      </c>
      <c r="K55" s="50">
        <f t="shared" si="7"/>
        <v>79.497628432093</v>
      </c>
    </row>
    <row r="56" spans="1:11" ht="13.5" thickBot="1">
      <c r="A56" s="42" t="s">
        <v>44</v>
      </c>
      <c r="B56" s="43">
        <v>76661</v>
      </c>
      <c r="C56" s="43">
        <v>70979</v>
      </c>
      <c r="D56" s="43">
        <f>500+86663+7500+1163+15759+14+653+96413+38880</f>
        <v>247545</v>
      </c>
      <c r="E56" s="43">
        <f>100+67710+35000+3568+1+2000</f>
        <v>108379</v>
      </c>
      <c r="F56" s="43">
        <f>80+3</f>
        <v>83</v>
      </c>
      <c r="G56" s="43">
        <f t="shared" si="4"/>
        <v>356007</v>
      </c>
      <c r="H56" s="89">
        <f>243+117+1+42211+4875+2117+1+8784+1+2+625+1+87086+23013</f>
        <v>169077</v>
      </c>
      <c r="I56" s="129">
        <f t="shared" si="5"/>
        <v>68.30152093558746</v>
      </c>
      <c r="J56" s="47">
        <f t="shared" si="8"/>
        <v>47.49260548247647</v>
      </c>
      <c r="K56" s="52">
        <f t="shared" si="7"/>
        <v>220.55151902531924</v>
      </c>
    </row>
    <row r="57" spans="1:11" ht="12.75">
      <c r="A57" s="10" t="s">
        <v>45</v>
      </c>
      <c r="B57" s="58">
        <v>1373</v>
      </c>
      <c r="C57" s="58">
        <v>1414</v>
      </c>
      <c r="D57" s="58">
        <v>1125</v>
      </c>
      <c r="E57" s="117"/>
      <c r="F57" s="58"/>
      <c r="G57" s="131">
        <f t="shared" si="4"/>
        <v>1125</v>
      </c>
      <c r="H57" s="58">
        <v>1104</v>
      </c>
      <c r="I57" s="126">
        <f t="shared" si="5"/>
        <v>98.13333333333333</v>
      </c>
      <c r="J57" s="32">
        <f t="shared" si="8"/>
        <v>98.13333333333333</v>
      </c>
      <c r="K57" s="50">
        <f t="shared" si="7"/>
        <v>80.40786598689003</v>
      </c>
    </row>
    <row r="58" spans="1:11" ht="12.75" hidden="1">
      <c r="A58" s="10" t="s">
        <v>86</v>
      </c>
      <c r="B58" s="58"/>
      <c r="C58" s="58"/>
      <c r="D58" s="58"/>
      <c r="E58" s="117"/>
      <c r="F58" s="58"/>
      <c r="G58" s="119">
        <f>D58+E58+F58</f>
        <v>0</v>
      </c>
      <c r="H58" s="58"/>
      <c r="I58" s="126" t="e">
        <f t="shared" si="5"/>
        <v>#DIV/0!</v>
      </c>
      <c r="J58" s="32" t="e">
        <f t="shared" si="8"/>
        <v>#DIV/0!</v>
      </c>
      <c r="K58" s="50" t="e">
        <f t="shared" si="7"/>
        <v>#DIV/0!</v>
      </c>
    </row>
    <row r="59" spans="1:11" ht="12.75">
      <c r="A59" s="10" t="s">
        <v>46</v>
      </c>
      <c r="B59" s="58">
        <f>B41/B57/12*1000</f>
        <v>39371.26729788783</v>
      </c>
      <c r="C59" s="58">
        <f>C41/C57/12*1000</f>
        <v>34734.73597359736</v>
      </c>
      <c r="D59" s="58">
        <f>D41/D57/12*1000</f>
        <v>39087.629629629635</v>
      </c>
      <c r="E59" s="117"/>
      <c r="F59" s="58"/>
      <c r="G59" s="58">
        <f>G41/G57/12*1000</f>
        <v>40337.92592592592</v>
      </c>
      <c r="H59" s="58">
        <f>H41/H57/12*1000</f>
        <v>40241.84782608696</v>
      </c>
      <c r="I59" s="126">
        <f t="shared" si="5"/>
        <v>102.9528989283668</v>
      </c>
      <c r="J59" s="32">
        <f t="shared" si="8"/>
        <v>99.76181695604431</v>
      </c>
      <c r="K59" s="50">
        <f t="shared" si="7"/>
        <v>102.21120778666383</v>
      </c>
    </row>
    <row r="60" spans="1:12" ht="13.5" thickBot="1">
      <c r="A60" s="6" t="s">
        <v>47</v>
      </c>
      <c r="B60" s="90">
        <f>B46/B57*1000</f>
        <v>1087399.854333576</v>
      </c>
      <c r="C60" s="90">
        <f>C46/C57*1000</f>
        <v>780178.2178217821</v>
      </c>
      <c r="D60" s="90">
        <f>D46/D57*1000</f>
        <v>1730195.5555555555</v>
      </c>
      <c r="E60" s="118"/>
      <c r="F60" s="90"/>
      <c r="G60" s="90">
        <f>G46/G57*1000</f>
        <v>2026070.222222222</v>
      </c>
      <c r="H60" s="90">
        <f>H46/H57*1000</f>
        <v>1387208.3333333333</v>
      </c>
      <c r="I60" s="167">
        <f t="shared" si="5"/>
        <v>80.17638982362944</v>
      </c>
      <c r="J60" s="47">
        <f t="shared" si="8"/>
        <v>68.46792959682433</v>
      </c>
      <c r="K60" s="55">
        <f t="shared" si="7"/>
        <v>127.5711347398973</v>
      </c>
      <c r="L60" s="22"/>
    </row>
    <row r="62" ht="12.75">
      <c r="A62" s="2" t="s">
        <v>64</v>
      </c>
    </row>
    <row r="63" spans="1:2" ht="12.75">
      <c r="A63" s="97" t="s">
        <v>79</v>
      </c>
      <c r="B63" s="84"/>
    </row>
    <row r="64" ht="12.75">
      <c r="A64" s="97" t="s">
        <v>72</v>
      </c>
    </row>
    <row r="65" ht="12.75">
      <c r="A65" s="97" t="s">
        <v>80</v>
      </c>
    </row>
    <row r="66" ht="12.75">
      <c r="A66" s="2" t="s">
        <v>74</v>
      </c>
    </row>
    <row r="67" ht="12.75">
      <c r="A67" s="2" t="s">
        <v>78</v>
      </c>
    </row>
    <row r="68" spans="1:10" ht="12.75">
      <c r="A68" s="204" t="s">
        <v>73</v>
      </c>
      <c r="B68" s="205"/>
      <c r="C68" s="205"/>
      <c r="D68" s="205"/>
      <c r="E68" s="205"/>
      <c r="F68" s="205"/>
      <c r="G68" s="205"/>
      <c r="H68" s="205"/>
      <c r="I68" s="205"/>
      <c r="J68" s="205"/>
    </row>
  </sheetData>
  <sheetProtection/>
  <mergeCells count="1">
    <mergeCell ref="A68:J68"/>
  </mergeCells>
  <printOptions horizontalCentered="1"/>
  <pageMargins left="0.3937007874015748" right="0" top="0.5905511811023623" bottom="0" header="0.5118110236220472" footer="0.5118110236220472"/>
  <pageSetup horizontalDpi="600" verticalDpi="600" orientation="portrait" paperSize="9" scale="75" r:id="rId1"/>
  <headerFooter alignWithMargins="0">
    <oddHeader>&amp;R&amp;"Arial CE,Tučné"&amp;12&amp;UPříloha č. 3 a)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68"/>
  <sheetViews>
    <sheetView workbookViewId="0" topLeftCell="A1">
      <selection activeCell="A1" sqref="A1"/>
    </sheetView>
  </sheetViews>
  <sheetFormatPr defaultColWidth="9.125" defaultRowHeight="12.75"/>
  <cols>
    <col min="1" max="1" width="33.125" style="2" customWidth="1"/>
    <col min="2" max="2" width="10.125" style="39" customWidth="1"/>
    <col min="3" max="3" width="9.25390625" style="2" customWidth="1"/>
    <col min="4" max="4" width="9.75390625" style="2" customWidth="1"/>
    <col min="5" max="5" width="10.625" style="2" customWidth="1"/>
    <col min="6" max="6" width="11.125" style="2" customWidth="1"/>
    <col min="7" max="7" width="10.125" style="2" customWidth="1"/>
    <col min="8" max="9" width="10.00390625" style="2" customWidth="1"/>
    <col min="10" max="10" width="8.00390625" style="2" customWidth="1"/>
    <col min="11" max="11" width="8.375" style="2" customWidth="1"/>
    <col min="12" max="16384" width="9.125" style="2" customWidth="1"/>
  </cols>
  <sheetData>
    <row r="1" spans="1:2" ht="12.75">
      <c r="A1" s="124" t="s">
        <v>84</v>
      </c>
      <c r="B1" s="38"/>
    </row>
    <row r="2" ht="12.75">
      <c r="A2" s="2" t="s">
        <v>89</v>
      </c>
    </row>
    <row r="3" spans="2:11" ht="13.5" thickBot="1">
      <c r="B3" s="132" t="s">
        <v>81</v>
      </c>
      <c r="C3" s="105"/>
      <c r="D3" s="105"/>
      <c r="E3" s="105"/>
      <c r="F3" s="105"/>
      <c r="G3" s="105"/>
      <c r="H3" s="133" t="s">
        <v>82</v>
      </c>
      <c r="I3" s="133"/>
      <c r="J3" s="105"/>
      <c r="K3" s="134"/>
    </row>
    <row r="4" spans="1:11" ht="12.75">
      <c r="A4" s="4"/>
      <c r="B4" s="135">
        <v>2010</v>
      </c>
      <c r="C4" s="136"/>
      <c r="D4" s="136">
        <v>2011</v>
      </c>
      <c r="E4" s="136"/>
      <c r="F4" s="136"/>
      <c r="G4" s="136"/>
      <c r="H4" s="136"/>
      <c r="I4" s="136"/>
      <c r="J4" s="137"/>
      <c r="K4" s="138" t="s">
        <v>76</v>
      </c>
    </row>
    <row r="5" spans="1:11" ht="12.75">
      <c r="A5" s="5" t="s">
        <v>0</v>
      </c>
      <c r="B5" s="91" t="s">
        <v>1</v>
      </c>
      <c r="C5" s="139" t="s">
        <v>91</v>
      </c>
      <c r="D5" s="140"/>
      <c r="E5" s="141"/>
      <c r="F5" s="141"/>
      <c r="G5" s="141"/>
      <c r="H5" s="142" t="s">
        <v>1</v>
      </c>
      <c r="I5" s="142" t="s">
        <v>2</v>
      </c>
      <c r="J5" s="142" t="s">
        <v>2</v>
      </c>
      <c r="K5" s="138" t="s">
        <v>3</v>
      </c>
    </row>
    <row r="6" spans="1:11" ht="13.5" thickBot="1">
      <c r="A6" s="6"/>
      <c r="B6" s="143" t="s">
        <v>92</v>
      </c>
      <c r="C6" s="144" t="s">
        <v>4</v>
      </c>
      <c r="D6" s="144" t="s">
        <v>65</v>
      </c>
      <c r="E6" s="145" t="s">
        <v>60</v>
      </c>
      <c r="F6" s="145" t="s">
        <v>96</v>
      </c>
      <c r="G6" s="145" t="s">
        <v>70</v>
      </c>
      <c r="H6" s="146" t="s">
        <v>92</v>
      </c>
      <c r="I6" s="144" t="s">
        <v>95</v>
      </c>
      <c r="J6" s="144" t="s">
        <v>71</v>
      </c>
      <c r="K6" s="147" t="s">
        <v>5</v>
      </c>
    </row>
    <row r="7" spans="1:11" ht="13.5" thickBot="1">
      <c r="A7" s="6" t="s">
        <v>6</v>
      </c>
      <c r="B7" s="93">
        <v>1</v>
      </c>
      <c r="C7" s="148">
        <v>2</v>
      </c>
      <c r="D7" s="148">
        <v>3</v>
      </c>
      <c r="E7" s="148">
        <v>4</v>
      </c>
      <c r="F7" s="148">
        <v>5</v>
      </c>
      <c r="G7" s="148">
        <v>6</v>
      </c>
      <c r="H7" s="148">
        <v>7</v>
      </c>
      <c r="I7" s="149" t="s">
        <v>94</v>
      </c>
      <c r="J7" s="150" t="s">
        <v>62</v>
      </c>
      <c r="K7" s="149" t="s">
        <v>63</v>
      </c>
    </row>
    <row r="8" spans="1:11" ht="12.75">
      <c r="A8" s="8" t="s">
        <v>7</v>
      </c>
      <c r="B8" s="85">
        <f>SUM(B10:B28)</f>
        <v>1855498</v>
      </c>
      <c r="C8" s="85">
        <f>SUM(C10:C28)</f>
        <v>1562149</v>
      </c>
      <c r="D8" s="151">
        <f>SUM(D10:D28)</f>
        <v>1560378</v>
      </c>
      <c r="E8" s="152" t="s">
        <v>69</v>
      </c>
      <c r="F8" s="151">
        <f>SUM(F10:F28)</f>
        <v>1308</v>
      </c>
      <c r="G8" s="151">
        <f>D8+F8</f>
        <v>1561686</v>
      </c>
      <c r="H8" s="151">
        <f>H10+H11+H13+H14+H15+H16+H17+H18+H19+H20+H21+H22+H23+H25+H26+H27+H28</f>
        <v>1517961</v>
      </c>
      <c r="I8" s="153">
        <f>H8/D8*100</f>
        <v>97.28162022279217</v>
      </c>
      <c r="J8" s="153">
        <f>H8/G8*100</f>
        <v>97.20014138565627</v>
      </c>
      <c r="K8" s="154">
        <f>H8/B8*100</f>
        <v>81.80881898013364</v>
      </c>
    </row>
    <row r="9" spans="1:11" ht="12.75">
      <c r="A9" s="10" t="s">
        <v>8</v>
      </c>
      <c r="B9" s="58"/>
      <c r="C9" s="58"/>
      <c r="D9" s="155"/>
      <c r="E9" s="156"/>
      <c r="F9" s="155"/>
      <c r="G9" s="155"/>
      <c r="H9" s="155"/>
      <c r="I9" s="157"/>
      <c r="J9" s="157"/>
      <c r="K9" s="158"/>
    </row>
    <row r="10" spans="1:11" ht="12.75">
      <c r="A10" s="71" t="s">
        <v>58</v>
      </c>
      <c r="B10" s="155">
        <v>1313776</v>
      </c>
      <c r="C10" s="58">
        <v>1298584</v>
      </c>
      <c r="D10" s="58">
        <v>1298584</v>
      </c>
      <c r="E10" s="159" t="s">
        <v>69</v>
      </c>
      <c r="F10" s="58"/>
      <c r="G10" s="58">
        <f aca="true" t="shared" si="0" ref="G10:G28">D10+F10</f>
        <v>1298584</v>
      </c>
      <c r="H10" s="155">
        <v>1210998</v>
      </c>
      <c r="I10" s="126">
        <f aca="true" t="shared" si="1" ref="I10:I27">H10/D10*100</f>
        <v>93.25526881587946</v>
      </c>
      <c r="J10" s="126">
        <f>H10/G10*100</f>
        <v>93.25526881587946</v>
      </c>
      <c r="K10" s="158"/>
    </row>
    <row r="11" spans="1:11" ht="12.75">
      <c r="A11" s="71" t="s">
        <v>9</v>
      </c>
      <c r="B11" s="155"/>
      <c r="C11" s="58"/>
      <c r="D11" s="58"/>
      <c r="E11" s="159" t="s">
        <v>69</v>
      </c>
      <c r="F11" s="58"/>
      <c r="G11" s="58">
        <f t="shared" si="0"/>
        <v>0</v>
      </c>
      <c r="H11" s="155"/>
      <c r="I11" s="126"/>
      <c r="J11" s="127"/>
      <c r="K11" s="158"/>
    </row>
    <row r="12" spans="1:11" ht="12.75">
      <c r="A12" s="71" t="s">
        <v>10</v>
      </c>
      <c r="B12" s="155"/>
      <c r="C12" s="58"/>
      <c r="D12" s="58"/>
      <c r="E12" s="159" t="s">
        <v>69</v>
      </c>
      <c r="F12" s="58"/>
      <c r="G12" s="58">
        <f t="shared" si="0"/>
        <v>0</v>
      </c>
      <c r="H12" s="155"/>
      <c r="I12" s="126"/>
      <c r="J12" s="127"/>
      <c r="K12" s="158"/>
    </row>
    <row r="13" spans="1:11" ht="12.75">
      <c r="A13" s="10" t="s">
        <v>11</v>
      </c>
      <c r="B13" s="160">
        <v>296</v>
      </c>
      <c r="C13" s="58">
        <v>1629</v>
      </c>
      <c r="D13" s="58">
        <v>1599</v>
      </c>
      <c r="E13" s="159" t="s">
        <v>69</v>
      </c>
      <c r="F13" s="58"/>
      <c r="G13" s="58">
        <f t="shared" si="0"/>
        <v>1599</v>
      </c>
      <c r="H13" s="160">
        <v>2812</v>
      </c>
      <c r="I13" s="126">
        <f t="shared" si="1"/>
        <v>175.8599124452783</v>
      </c>
      <c r="J13" s="161">
        <f>H13/G13*100</f>
        <v>175.8599124452783</v>
      </c>
      <c r="K13" s="158">
        <f>H13/B13*100</f>
        <v>950</v>
      </c>
    </row>
    <row r="14" spans="1:11" ht="12.75">
      <c r="A14" s="56" t="s">
        <v>54</v>
      </c>
      <c r="B14" s="160"/>
      <c r="C14" s="58"/>
      <c r="D14" s="58"/>
      <c r="E14" s="159" t="s">
        <v>69</v>
      </c>
      <c r="F14" s="58"/>
      <c r="G14" s="58">
        <f t="shared" si="0"/>
        <v>0</v>
      </c>
      <c r="H14" s="160"/>
      <c r="I14" s="126"/>
      <c r="J14" s="161"/>
      <c r="K14" s="158"/>
    </row>
    <row r="15" spans="1:11" ht="12.75">
      <c r="A15" s="10" t="s">
        <v>12</v>
      </c>
      <c r="B15" s="160">
        <v>21891</v>
      </c>
      <c r="C15" s="58">
        <v>24954</v>
      </c>
      <c r="D15" s="58">
        <v>24954</v>
      </c>
      <c r="E15" s="159" t="s">
        <v>69</v>
      </c>
      <c r="F15" s="58"/>
      <c r="G15" s="58">
        <f t="shared" si="0"/>
        <v>24954</v>
      </c>
      <c r="H15" s="160">
        <v>29322</v>
      </c>
      <c r="I15" s="126">
        <f t="shared" si="1"/>
        <v>117.50420774224573</v>
      </c>
      <c r="J15" s="161">
        <f>H15/G15*100</f>
        <v>117.50420774224573</v>
      </c>
      <c r="K15" s="158">
        <f>H15/B15*100</f>
        <v>133.94545703713857</v>
      </c>
    </row>
    <row r="16" spans="1:11" ht="12.75">
      <c r="A16" s="10" t="s">
        <v>13</v>
      </c>
      <c r="B16" s="160">
        <v>2617</v>
      </c>
      <c r="C16" s="58">
        <v>2727</v>
      </c>
      <c r="D16" s="58">
        <v>2727</v>
      </c>
      <c r="E16" s="159" t="s">
        <v>69</v>
      </c>
      <c r="F16" s="58"/>
      <c r="G16" s="58">
        <f t="shared" si="0"/>
        <v>2727</v>
      </c>
      <c r="H16" s="160">
        <v>669</v>
      </c>
      <c r="I16" s="126">
        <f t="shared" si="1"/>
        <v>24.532453245324533</v>
      </c>
      <c r="J16" s="161">
        <f>H16/G16*100</f>
        <v>24.532453245324533</v>
      </c>
      <c r="K16" s="158">
        <f>H16/B16*100</f>
        <v>25.563622468475355</v>
      </c>
    </row>
    <row r="17" spans="1:11" ht="12.75">
      <c r="A17" s="10" t="s">
        <v>14</v>
      </c>
      <c r="B17" s="160">
        <v>500715</v>
      </c>
      <c r="C17" s="58">
        <v>120000</v>
      </c>
      <c r="D17" s="58">
        <v>120000</v>
      </c>
      <c r="E17" s="159" t="s">
        <v>69</v>
      </c>
      <c r="F17" s="58"/>
      <c r="G17" s="58">
        <f t="shared" si="0"/>
        <v>120000</v>
      </c>
      <c r="H17" s="160">
        <f>254077-18</f>
        <v>254059</v>
      </c>
      <c r="I17" s="126">
        <f t="shared" si="1"/>
        <v>211.71583333333334</v>
      </c>
      <c r="J17" s="161">
        <f>H17/G17*100</f>
        <v>211.71583333333334</v>
      </c>
      <c r="K17" s="158"/>
    </row>
    <row r="18" spans="1:11" ht="12.75">
      <c r="A18" s="10" t="s">
        <v>15</v>
      </c>
      <c r="B18" s="160">
        <v>521</v>
      </c>
      <c r="C18" s="58">
        <v>64</v>
      </c>
      <c r="D18" s="58">
        <v>64</v>
      </c>
      <c r="E18" s="159" t="s">
        <v>69</v>
      </c>
      <c r="F18" s="58"/>
      <c r="G18" s="58">
        <f t="shared" si="0"/>
        <v>64</v>
      </c>
      <c r="H18" s="160">
        <v>16</v>
      </c>
      <c r="I18" s="126">
        <f t="shared" si="1"/>
        <v>25</v>
      </c>
      <c r="J18" s="161">
        <f>H18/G18*100</f>
        <v>25</v>
      </c>
      <c r="K18" s="158">
        <f>H18/B18*100</f>
        <v>3.071017274472169</v>
      </c>
    </row>
    <row r="19" spans="1:11" ht="12.75">
      <c r="A19" s="10" t="s">
        <v>16</v>
      </c>
      <c r="B19" s="160">
        <v>12086</v>
      </c>
      <c r="C19" s="58">
        <v>6016</v>
      </c>
      <c r="D19" s="58">
        <v>6046</v>
      </c>
      <c r="E19" s="159" t="s">
        <v>69</v>
      </c>
      <c r="F19" s="58">
        <v>1308</v>
      </c>
      <c r="G19" s="58">
        <f t="shared" si="0"/>
        <v>7354</v>
      </c>
      <c r="H19" s="160">
        <f>10392+18</f>
        <v>10410</v>
      </c>
      <c r="I19" s="126">
        <f t="shared" si="1"/>
        <v>172.17995368838902</v>
      </c>
      <c r="J19" s="161">
        <f>H19/G19*100</f>
        <v>141.55561599129726</v>
      </c>
      <c r="K19" s="158">
        <f>H19/B19*100</f>
        <v>86.13271553863974</v>
      </c>
    </row>
    <row r="20" spans="1:11" ht="12.75">
      <c r="A20" s="10" t="s">
        <v>59</v>
      </c>
      <c r="B20" s="160"/>
      <c r="C20" s="58"/>
      <c r="D20" s="58"/>
      <c r="E20" s="159" t="s">
        <v>69</v>
      </c>
      <c r="F20" s="58"/>
      <c r="G20" s="58">
        <f t="shared" si="0"/>
        <v>0</v>
      </c>
      <c r="H20" s="160"/>
      <c r="I20" s="126"/>
      <c r="J20" s="161"/>
      <c r="K20" s="158"/>
    </row>
    <row r="21" spans="1:11" ht="12.75">
      <c r="A21" s="57" t="s">
        <v>55</v>
      </c>
      <c r="B21" s="160"/>
      <c r="C21" s="58"/>
      <c r="D21" s="58"/>
      <c r="E21" s="159" t="s">
        <v>69</v>
      </c>
      <c r="F21" s="58"/>
      <c r="G21" s="58">
        <f t="shared" si="0"/>
        <v>0</v>
      </c>
      <c r="H21" s="160"/>
      <c r="I21" s="126"/>
      <c r="J21" s="161"/>
      <c r="K21" s="158"/>
    </row>
    <row r="22" spans="1:11" ht="12.75">
      <c r="A22" s="10" t="s">
        <v>17</v>
      </c>
      <c r="B22" s="160">
        <v>1628</v>
      </c>
      <c r="C22" s="58">
        <v>735</v>
      </c>
      <c r="D22" s="58">
        <v>735</v>
      </c>
      <c r="E22" s="159" t="s">
        <v>69</v>
      </c>
      <c r="F22" s="58"/>
      <c r="G22" s="58">
        <f t="shared" si="0"/>
        <v>735</v>
      </c>
      <c r="H22" s="160">
        <v>6811</v>
      </c>
      <c r="I22" s="126">
        <f t="shared" si="1"/>
        <v>926.6666666666667</v>
      </c>
      <c r="J22" s="161">
        <f aca="true" t="shared" si="2" ref="J22:J27">H22/G22*100</f>
        <v>926.6666666666667</v>
      </c>
      <c r="K22" s="158">
        <f>H22/B22*100</f>
        <v>418.3660933660934</v>
      </c>
    </row>
    <row r="23" spans="1:11" ht="12.75">
      <c r="A23" s="57" t="s">
        <v>56</v>
      </c>
      <c r="B23" s="160"/>
      <c r="C23" s="58"/>
      <c r="D23" s="58"/>
      <c r="E23" s="159" t="s">
        <v>69</v>
      </c>
      <c r="F23" s="58"/>
      <c r="G23" s="58">
        <f t="shared" si="0"/>
        <v>0</v>
      </c>
      <c r="H23" s="160"/>
      <c r="I23" s="126"/>
      <c r="J23" s="161"/>
      <c r="K23" s="158"/>
    </row>
    <row r="24" spans="1:11" ht="12.75" customHeight="1">
      <c r="A24" s="10" t="s">
        <v>18</v>
      </c>
      <c r="B24" s="160"/>
      <c r="C24" s="58"/>
      <c r="D24" s="58"/>
      <c r="E24" s="159" t="s">
        <v>69</v>
      </c>
      <c r="F24" s="58"/>
      <c r="G24" s="58">
        <f t="shared" si="0"/>
        <v>0</v>
      </c>
      <c r="H24" s="160"/>
      <c r="I24" s="126"/>
      <c r="J24" s="161"/>
      <c r="K24" s="158"/>
    </row>
    <row r="25" spans="1:11" ht="12.75" customHeight="1">
      <c r="A25" s="10" t="s">
        <v>87</v>
      </c>
      <c r="B25" s="160"/>
      <c r="C25" s="94">
        <v>42840</v>
      </c>
      <c r="D25" s="94">
        <v>42840</v>
      </c>
      <c r="E25" s="159" t="s">
        <v>69</v>
      </c>
      <c r="F25" s="58"/>
      <c r="G25" s="58">
        <f t="shared" si="0"/>
        <v>42840</v>
      </c>
      <c r="H25" s="160"/>
      <c r="I25" s="126">
        <f t="shared" si="1"/>
        <v>0</v>
      </c>
      <c r="J25" s="161">
        <f t="shared" si="2"/>
        <v>0</v>
      </c>
      <c r="K25" s="158"/>
    </row>
    <row r="26" spans="1:11" ht="12.75" customHeight="1">
      <c r="A26" s="10" t="s">
        <v>57</v>
      </c>
      <c r="B26" s="160"/>
      <c r="C26" s="94"/>
      <c r="D26" s="58"/>
      <c r="E26" s="159" t="s">
        <v>69</v>
      </c>
      <c r="F26" s="58"/>
      <c r="G26" s="58">
        <f t="shared" si="0"/>
        <v>0</v>
      </c>
      <c r="H26" s="160"/>
      <c r="I26" s="126"/>
      <c r="J26" s="161"/>
      <c r="K26" s="158"/>
    </row>
    <row r="27" spans="1:11" ht="12.75" customHeight="1">
      <c r="A27" s="71" t="s">
        <v>88</v>
      </c>
      <c r="B27" s="162"/>
      <c r="C27" s="94">
        <v>64600</v>
      </c>
      <c r="D27" s="94">
        <v>62829</v>
      </c>
      <c r="E27" s="159" t="s">
        <v>69</v>
      </c>
      <c r="F27" s="94"/>
      <c r="G27" s="94">
        <f t="shared" si="0"/>
        <v>62829</v>
      </c>
      <c r="H27" s="162"/>
      <c r="I27" s="163">
        <f t="shared" si="1"/>
        <v>0</v>
      </c>
      <c r="J27" s="164">
        <f t="shared" si="2"/>
        <v>0</v>
      </c>
      <c r="K27" s="165"/>
    </row>
    <row r="28" spans="1:11" ht="13.5" thickBot="1">
      <c r="A28" s="6" t="s">
        <v>19</v>
      </c>
      <c r="B28" s="166">
        <v>1968</v>
      </c>
      <c r="C28" s="90"/>
      <c r="D28" s="90"/>
      <c r="E28" s="93" t="s">
        <v>69</v>
      </c>
      <c r="F28" s="90">
        <v>0</v>
      </c>
      <c r="G28" s="90">
        <f t="shared" si="0"/>
        <v>0</v>
      </c>
      <c r="H28" s="166">
        <v>2864</v>
      </c>
      <c r="I28" s="167"/>
      <c r="J28" s="168"/>
      <c r="K28" s="169">
        <f>H28/B28*100</f>
        <v>145.52845528455285</v>
      </c>
    </row>
    <row r="29" spans="1:11" ht="12.75">
      <c r="A29" s="5"/>
      <c r="B29" s="86"/>
      <c r="C29" s="86"/>
      <c r="D29" s="170"/>
      <c r="E29" s="170"/>
      <c r="F29" s="170"/>
      <c r="G29" s="170"/>
      <c r="H29" s="171"/>
      <c r="I29" s="172"/>
      <c r="J29" s="173"/>
      <c r="K29" s="174"/>
    </row>
    <row r="30" spans="1:11" ht="12.75">
      <c r="A30" s="8" t="s">
        <v>20</v>
      </c>
      <c r="B30" s="85">
        <f>B32+B38</f>
        <v>7424143</v>
      </c>
      <c r="C30" s="85">
        <f>C32+C38</f>
        <v>7200794</v>
      </c>
      <c r="D30" s="85">
        <f>D32+D38</f>
        <v>8197310</v>
      </c>
      <c r="E30" s="85">
        <f>E32+E38</f>
        <v>0</v>
      </c>
      <c r="F30" s="85">
        <f>F32+F38</f>
        <v>1308</v>
      </c>
      <c r="G30" s="85">
        <f aca="true" t="shared" si="3" ref="G30:G57">D30+E30+F30</f>
        <v>8198618</v>
      </c>
      <c r="H30" s="85">
        <f>H32+H38</f>
        <v>7972021</v>
      </c>
      <c r="I30" s="175">
        <f>H30/D30*100</f>
        <v>97.25167158494676</v>
      </c>
      <c r="J30" s="176">
        <f>H30/G30*100</f>
        <v>97.23615614241326</v>
      </c>
      <c r="K30" s="154">
        <f>H30/B30*100</f>
        <v>107.37968005196021</v>
      </c>
    </row>
    <row r="31" spans="1:11" ht="12.75">
      <c r="A31" s="10" t="s">
        <v>21</v>
      </c>
      <c r="B31" s="58"/>
      <c r="C31" s="58"/>
      <c r="D31" s="177"/>
      <c r="E31" s="177"/>
      <c r="F31" s="177"/>
      <c r="G31" s="177"/>
      <c r="H31" s="177"/>
      <c r="I31" s="178"/>
      <c r="J31" s="178"/>
      <c r="K31" s="158"/>
    </row>
    <row r="32" spans="1:11" ht="12.75">
      <c r="A32" s="8" t="s">
        <v>22</v>
      </c>
      <c r="B32" s="85">
        <f>B34+B35+B36</f>
        <v>200359</v>
      </c>
      <c r="C32" s="85">
        <f>C34+C35+C36</f>
        <v>212416</v>
      </c>
      <c r="D32" s="85">
        <f>D34+D35+D36</f>
        <v>929454</v>
      </c>
      <c r="E32" s="85">
        <f>E34+E35+E36</f>
        <v>0</v>
      </c>
      <c r="F32" s="85">
        <f>F34+F35+F36</f>
        <v>0</v>
      </c>
      <c r="G32" s="85">
        <f t="shared" si="3"/>
        <v>929454</v>
      </c>
      <c r="H32" s="85">
        <f>H34+H35+H36</f>
        <v>786792</v>
      </c>
      <c r="I32" s="176">
        <f>H32/D32*100</f>
        <v>84.6509886449464</v>
      </c>
      <c r="J32" s="176">
        <f>H32/G32*100</f>
        <v>84.6509886449464</v>
      </c>
      <c r="K32" s="154">
        <f>H32/B32*100</f>
        <v>392.6911194406041</v>
      </c>
    </row>
    <row r="33" spans="1:11" ht="12.75">
      <c r="A33" s="10" t="s">
        <v>23</v>
      </c>
      <c r="B33" s="58"/>
      <c r="C33" s="58"/>
      <c r="D33" s="179"/>
      <c r="E33" s="179"/>
      <c r="F33" s="179"/>
      <c r="G33" s="179"/>
      <c r="H33" s="179"/>
      <c r="I33" s="180"/>
      <c r="J33" s="180"/>
      <c r="K33" s="158"/>
    </row>
    <row r="34" spans="1:11" ht="12.75">
      <c r="A34" s="10" t="s">
        <v>24</v>
      </c>
      <c r="B34" s="160"/>
      <c r="C34" s="58">
        <v>151776</v>
      </c>
      <c r="D34" s="160">
        <v>579041</v>
      </c>
      <c r="E34" s="160"/>
      <c r="F34" s="160"/>
      <c r="G34" s="160">
        <f t="shared" si="3"/>
        <v>579041</v>
      </c>
      <c r="H34" s="160">
        <v>477045</v>
      </c>
      <c r="I34" s="126">
        <f aca="true" t="shared" si="4" ref="I34:I60">H34/D34*100</f>
        <v>82.38535785894263</v>
      </c>
      <c r="J34" s="161">
        <f>H34/G34*100</f>
        <v>82.38535785894263</v>
      </c>
      <c r="K34" s="158"/>
    </row>
    <row r="35" spans="1:11" ht="12.75">
      <c r="A35" s="10" t="s">
        <v>25</v>
      </c>
      <c r="B35" s="160">
        <v>200359</v>
      </c>
      <c r="C35" s="58">
        <v>60640</v>
      </c>
      <c r="D35" s="58">
        <v>350413</v>
      </c>
      <c r="E35" s="58"/>
      <c r="F35" s="58"/>
      <c r="G35" s="58">
        <f t="shared" si="3"/>
        <v>350413</v>
      </c>
      <c r="H35" s="160">
        <v>309747</v>
      </c>
      <c r="I35" s="126">
        <f t="shared" si="4"/>
        <v>88.3948369495424</v>
      </c>
      <c r="J35" s="161">
        <f>H35/G35*100</f>
        <v>88.3948369495424</v>
      </c>
      <c r="K35" s="158">
        <f>H35/B35*100</f>
        <v>154.59600017967747</v>
      </c>
    </row>
    <row r="36" spans="1:11" ht="12.75">
      <c r="A36" s="14" t="s">
        <v>26</v>
      </c>
      <c r="B36" s="181">
        <v>0</v>
      </c>
      <c r="C36" s="182">
        <v>0</v>
      </c>
      <c r="D36" s="181">
        <v>0</v>
      </c>
      <c r="E36" s="181"/>
      <c r="F36" s="181"/>
      <c r="G36" s="181">
        <f t="shared" si="3"/>
        <v>0</v>
      </c>
      <c r="H36" s="181"/>
      <c r="I36" s="183"/>
      <c r="J36" s="184"/>
      <c r="K36" s="154"/>
    </row>
    <row r="37" spans="1:11" ht="12.75">
      <c r="A37" s="5"/>
      <c r="B37" s="86"/>
      <c r="C37" s="86"/>
      <c r="D37" s="185"/>
      <c r="E37" s="186"/>
      <c r="F37" s="186"/>
      <c r="G37" s="186">
        <f t="shared" si="3"/>
        <v>0</v>
      </c>
      <c r="H37" s="187"/>
      <c r="I37" s="188"/>
      <c r="J37" s="189"/>
      <c r="K37" s="174"/>
    </row>
    <row r="38" spans="1:11" ht="12.75">
      <c r="A38" s="8" t="s">
        <v>27</v>
      </c>
      <c r="B38" s="85">
        <f>B40+B43+B44+B45+B46</f>
        <v>7223784</v>
      </c>
      <c r="C38" s="85">
        <f>C40+C43+C44+B45+C46</f>
        <v>6988378</v>
      </c>
      <c r="D38" s="85">
        <f>D40+D43+D44+C45+D46</f>
        <v>7267856</v>
      </c>
      <c r="E38" s="85">
        <f>E40+E43+E44+D45+E46</f>
        <v>0</v>
      </c>
      <c r="F38" s="85">
        <f>F40+F43+F44+E45+F46</f>
        <v>1308</v>
      </c>
      <c r="G38" s="85">
        <f t="shared" si="3"/>
        <v>7269164</v>
      </c>
      <c r="H38" s="85">
        <f>H40+H43+H44+H45+H46</f>
        <v>7185229</v>
      </c>
      <c r="I38" s="175">
        <f t="shared" si="4"/>
        <v>98.86311726594474</v>
      </c>
      <c r="J38" s="190">
        <f>H38/G38*100</f>
        <v>98.84532801846264</v>
      </c>
      <c r="K38" s="154">
        <f>H38/B38*100</f>
        <v>99.46627695401745</v>
      </c>
    </row>
    <row r="39" spans="1:11" ht="12.75">
      <c r="A39" s="10" t="s">
        <v>23</v>
      </c>
      <c r="B39" s="58"/>
      <c r="C39" s="58"/>
      <c r="D39" s="177"/>
      <c r="E39" s="177"/>
      <c r="F39" s="177"/>
      <c r="G39" s="177"/>
      <c r="H39" s="177"/>
      <c r="I39" s="178"/>
      <c r="J39" s="178"/>
      <c r="K39" s="158"/>
    </row>
    <row r="40" spans="1:11" ht="12.75">
      <c r="A40" s="16" t="s">
        <v>28</v>
      </c>
      <c r="B40" s="88">
        <f>B41+B42</f>
        <v>4585218</v>
      </c>
      <c r="C40" s="88">
        <f>C41+C42</f>
        <v>4172178</v>
      </c>
      <c r="D40" s="88">
        <f>D41+D42</f>
        <v>4355277</v>
      </c>
      <c r="E40" s="88">
        <f>E41+E42</f>
        <v>0</v>
      </c>
      <c r="F40" s="88">
        <f>F41+F42</f>
        <v>0</v>
      </c>
      <c r="G40" s="88">
        <f t="shared" si="3"/>
        <v>4355277</v>
      </c>
      <c r="H40" s="88">
        <f>H41+H42</f>
        <v>4354480</v>
      </c>
      <c r="I40" s="128">
        <f t="shared" si="4"/>
        <v>99.9817003602756</v>
      </c>
      <c r="J40" s="127">
        <f>H40/G40*100</f>
        <v>99.9817003602756</v>
      </c>
      <c r="K40" s="158">
        <f>H40/B40*100</f>
        <v>94.96778561019346</v>
      </c>
    </row>
    <row r="41" spans="1:11" ht="12.75">
      <c r="A41" s="10" t="s">
        <v>29</v>
      </c>
      <c r="B41" s="191">
        <v>4571028</v>
      </c>
      <c r="C41" s="58">
        <v>4161193</v>
      </c>
      <c r="D41" s="191">
        <v>4332772</v>
      </c>
      <c r="E41" s="191"/>
      <c r="F41" s="191"/>
      <c r="G41" s="191">
        <f t="shared" si="3"/>
        <v>4332772</v>
      </c>
      <c r="H41" s="191">
        <v>4332772</v>
      </c>
      <c r="I41" s="126">
        <f t="shared" si="4"/>
        <v>100</v>
      </c>
      <c r="J41" s="161">
        <f>H41/G41*100</f>
        <v>100</v>
      </c>
      <c r="K41" s="158">
        <f>H41/B41*100</f>
        <v>94.78769327162293</v>
      </c>
    </row>
    <row r="42" spans="1:11" ht="12.75">
      <c r="A42" s="10" t="s">
        <v>48</v>
      </c>
      <c r="B42" s="191">
        <v>14190</v>
      </c>
      <c r="C42" s="58">
        <v>10985</v>
      </c>
      <c r="D42" s="191">
        <v>22505</v>
      </c>
      <c r="E42" s="191"/>
      <c r="F42" s="191"/>
      <c r="G42" s="191">
        <f t="shared" si="3"/>
        <v>22505</v>
      </c>
      <c r="H42" s="191">
        <v>21708</v>
      </c>
      <c r="I42" s="126">
        <f t="shared" si="4"/>
        <v>96.45856476338591</v>
      </c>
      <c r="J42" s="161">
        <f>H42/G42*100</f>
        <v>96.45856476338591</v>
      </c>
      <c r="K42" s="158">
        <f>H42/B42*100</f>
        <v>152.98097251585622</v>
      </c>
    </row>
    <row r="43" spans="1:11" ht="12.75">
      <c r="A43" s="20" t="s">
        <v>31</v>
      </c>
      <c r="B43" s="192">
        <v>1552529</v>
      </c>
      <c r="C43" s="101">
        <v>1418540</v>
      </c>
      <c r="D43" s="192">
        <v>1474992</v>
      </c>
      <c r="E43" s="192"/>
      <c r="F43" s="192"/>
      <c r="G43" s="192">
        <f t="shared" si="3"/>
        <v>1474992</v>
      </c>
      <c r="H43" s="192">
        <v>1474976</v>
      </c>
      <c r="I43" s="128">
        <f t="shared" si="4"/>
        <v>99.9989152483539</v>
      </c>
      <c r="J43" s="127">
        <f>H43/G43*100</f>
        <v>99.9989152483539</v>
      </c>
      <c r="K43" s="158">
        <f>H43/B43*100</f>
        <v>95.00473099053222</v>
      </c>
    </row>
    <row r="44" spans="1:11" ht="12.75">
      <c r="A44" s="20" t="s">
        <v>32</v>
      </c>
      <c r="B44" s="192">
        <v>91447</v>
      </c>
      <c r="C44" s="101">
        <v>41611</v>
      </c>
      <c r="D44" s="192">
        <v>43328</v>
      </c>
      <c r="E44" s="192"/>
      <c r="F44" s="192"/>
      <c r="G44" s="192">
        <f t="shared" si="3"/>
        <v>43328</v>
      </c>
      <c r="H44" s="192">
        <v>43328</v>
      </c>
      <c r="I44" s="128">
        <f t="shared" si="4"/>
        <v>100</v>
      </c>
      <c r="J44" s="127">
        <f>H44/G44*100</f>
        <v>100</v>
      </c>
      <c r="K44" s="158">
        <f>H44/B44*100</f>
        <v>47.38044987807145</v>
      </c>
    </row>
    <row r="45" spans="1:11" ht="12.75">
      <c r="A45" s="16" t="s">
        <v>49</v>
      </c>
      <c r="B45" s="192">
        <v>0</v>
      </c>
      <c r="C45" s="88">
        <v>0</v>
      </c>
      <c r="D45" s="192">
        <v>0</v>
      </c>
      <c r="E45" s="192"/>
      <c r="F45" s="192"/>
      <c r="G45" s="192">
        <f t="shared" si="3"/>
        <v>0</v>
      </c>
      <c r="H45" s="192">
        <v>0</v>
      </c>
      <c r="I45" s="128"/>
      <c r="J45" s="127"/>
      <c r="K45" s="158"/>
    </row>
    <row r="46" spans="1:11" ht="12.75">
      <c r="A46" s="16" t="s">
        <v>34</v>
      </c>
      <c r="B46" s="88">
        <f>B48+B49+B50+B52+B56</f>
        <v>994590</v>
      </c>
      <c r="C46" s="88">
        <f>C48+C49+C50+C52+C56</f>
        <v>1356049</v>
      </c>
      <c r="D46" s="88">
        <f>D48+D49+D50+D52+D56</f>
        <v>1394259</v>
      </c>
      <c r="E46" s="88">
        <f>E48+E49+E50+E52+E56</f>
        <v>0</v>
      </c>
      <c r="F46" s="88">
        <f>F48+F49+F50+F52+F56</f>
        <v>1308</v>
      </c>
      <c r="G46" s="88">
        <f t="shared" si="3"/>
        <v>1395567</v>
      </c>
      <c r="H46" s="88">
        <f>H48+H49+H50+H52+H56</f>
        <v>1312445</v>
      </c>
      <c r="I46" s="128">
        <f t="shared" si="4"/>
        <v>94.1320801945693</v>
      </c>
      <c r="J46" s="127">
        <f>H46/G46*100</f>
        <v>94.04385457667027</v>
      </c>
      <c r="K46" s="158">
        <f>H46/B46*100</f>
        <v>131.95839491649826</v>
      </c>
    </row>
    <row r="47" spans="1:11" ht="12.75">
      <c r="A47" s="10" t="s">
        <v>35</v>
      </c>
      <c r="B47" s="58"/>
      <c r="C47" s="58"/>
      <c r="D47" s="191"/>
      <c r="E47" s="191"/>
      <c r="F47" s="191"/>
      <c r="G47" s="191"/>
      <c r="H47" s="191"/>
      <c r="I47" s="193"/>
      <c r="J47" s="193"/>
      <c r="K47" s="158"/>
    </row>
    <row r="48" spans="1:11" ht="12.75">
      <c r="A48" s="10" t="s">
        <v>36</v>
      </c>
      <c r="B48" s="191">
        <v>137320</v>
      </c>
      <c r="C48" s="58">
        <v>148357</v>
      </c>
      <c r="D48" s="191">
        <v>146250</v>
      </c>
      <c r="E48" s="191"/>
      <c r="F48" s="191"/>
      <c r="G48" s="191">
        <f t="shared" si="3"/>
        <v>146250</v>
      </c>
      <c r="H48" s="191">
        <f>125721-1</f>
        <v>125720</v>
      </c>
      <c r="I48" s="126">
        <f t="shared" si="4"/>
        <v>85.96239316239316</v>
      </c>
      <c r="J48" s="161">
        <f aca="true" t="shared" si="5" ref="J48:J57">H48/G48*100</f>
        <v>85.96239316239316</v>
      </c>
      <c r="K48" s="158">
        <f aca="true" t="shared" si="6" ref="K48:K60">H48/B48*100</f>
        <v>91.55257792018642</v>
      </c>
    </row>
    <row r="49" spans="1:11" ht="12.75">
      <c r="A49" s="10" t="s">
        <v>37</v>
      </c>
      <c r="B49" s="191">
        <v>198307</v>
      </c>
      <c r="C49" s="58">
        <v>206979</v>
      </c>
      <c r="D49" s="191">
        <v>215378</v>
      </c>
      <c r="E49" s="191"/>
      <c r="F49" s="191"/>
      <c r="G49" s="191">
        <f t="shared" si="3"/>
        <v>215378</v>
      </c>
      <c r="H49" s="191">
        <v>210969</v>
      </c>
      <c r="I49" s="126">
        <f t="shared" si="4"/>
        <v>97.95290141054332</v>
      </c>
      <c r="J49" s="161">
        <f t="shared" si="5"/>
        <v>97.95290141054332</v>
      </c>
      <c r="K49" s="158">
        <f t="shared" si="6"/>
        <v>106.38504944353957</v>
      </c>
    </row>
    <row r="50" spans="1:11" ht="12.75">
      <c r="A50" s="10" t="s">
        <v>38</v>
      </c>
      <c r="B50" s="191">
        <v>484177</v>
      </c>
      <c r="C50" s="58">
        <v>853452</v>
      </c>
      <c r="D50" s="191">
        <v>819636</v>
      </c>
      <c r="E50" s="191"/>
      <c r="F50" s="191"/>
      <c r="G50" s="191">
        <f t="shared" si="3"/>
        <v>819636</v>
      </c>
      <c r="H50" s="191">
        <v>763202</v>
      </c>
      <c r="I50" s="126">
        <f t="shared" si="4"/>
        <v>93.1147484981138</v>
      </c>
      <c r="J50" s="161">
        <f t="shared" si="5"/>
        <v>93.1147484981138</v>
      </c>
      <c r="K50" s="158">
        <f t="shared" si="6"/>
        <v>157.62871842322127</v>
      </c>
    </row>
    <row r="51" spans="1:11" ht="12.75">
      <c r="A51" s="10" t="s">
        <v>39</v>
      </c>
      <c r="B51" s="191">
        <v>134739</v>
      </c>
      <c r="C51" s="58">
        <v>84017</v>
      </c>
      <c r="D51" s="191">
        <f>141043+30</f>
        <v>141073</v>
      </c>
      <c r="E51" s="191"/>
      <c r="F51" s="191"/>
      <c r="G51" s="191">
        <f t="shared" si="3"/>
        <v>141073</v>
      </c>
      <c r="H51" s="191">
        <f>141035+30</f>
        <v>141065</v>
      </c>
      <c r="I51" s="126">
        <f t="shared" si="4"/>
        <v>99.99432917709271</v>
      </c>
      <c r="J51" s="161">
        <f t="shared" si="5"/>
        <v>99.99432917709271</v>
      </c>
      <c r="K51" s="158">
        <f t="shared" si="6"/>
        <v>104.69500293159368</v>
      </c>
    </row>
    <row r="52" spans="1:11" ht="12.75">
      <c r="A52" s="10" t="s">
        <v>40</v>
      </c>
      <c r="B52" s="191">
        <v>150689</v>
      </c>
      <c r="C52" s="58">
        <v>123753</v>
      </c>
      <c r="D52" s="191">
        <v>181640</v>
      </c>
      <c r="E52" s="191"/>
      <c r="F52" s="191">
        <v>1308</v>
      </c>
      <c r="G52" s="191">
        <f t="shared" si="3"/>
        <v>182948</v>
      </c>
      <c r="H52" s="191">
        <v>181356</v>
      </c>
      <c r="I52" s="126">
        <f t="shared" si="4"/>
        <v>99.84364677383836</v>
      </c>
      <c r="J52" s="161">
        <f t="shared" si="5"/>
        <v>99.12980737695958</v>
      </c>
      <c r="K52" s="158">
        <f t="shared" si="6"/>
        <v>120.35118688159056</v>
      </c>
    </row>
    <row r="53" spans="1:11" ht="12.75">
      <c r="A53" s="10" t="s">
        <v>41</v>
      </c>
      <c r="B53" s="191">
        <v>108202</v>
      </c>
      <c r="C53" s="58">
        <v>82499</v>
      </c>
      <c r="D53" s="191">
        <v>155364</v>
      </c>
      <c r="E53" s="191"/>
      <c r="F53" s="191">
        <v>1308</v>
      </c>
      <c r="G53" s="191">
        <f t="shared" si="3"/>
        <v>156672</v>
      </c>
      <c r="H53" s="191">
        <v>155869</v>
      </c>
      <c r="I53" s="126">
        <f t="shared" si="4"/>
        <v>100.32504312453337</v>
      </c>
      <c r="J53" s="161">
        <f t="shared" si="5"/>
        <v>99.48746425653596</v>
      </c>
      <c r="K53" s="158">
        <f t="shared" si="6"/>
        <v>144.0537143490878</v>
      </c>
    </row>
    <row r="54" spans="1:11" ht="12.75">
      <c r="A54" s="10" t="s">
        <v>42</v>
      </c>
      <c r="B54" s="191">
        <v>16264</v>
      </c>
      <c r="C54" s="58">
        <v>0</v>
      </c>
      <c r="D54" s="191">
        <v>480</v>
      </c>
      <c r="E54" s="191"/>
      <c r="F54" s="191"/>
      <c r="G54" s="191">
        <f t="shared" si="3"/>
        <v>480</v>
      </c>
      <c r="H54" s="191">
        <v>365</v>
      </c>
      <c r="I54" s="126">
        <f t="shared" si="4"/>
        <v>76.04166666666666</v>
      </c>
      <c r="J54" s="161">
        <f t="shared" si="5"/>
        <v>76.04166666666666</v>
      </c>
      <c r="K54" s="158">
        <f t="shared" si="6"/>
        <v>2.2442203639940974</v>
      </c>
    </row>
    <row r="55" spans="1:11" ht="12.75">
      <c r="A55" s="10" t="s">
        <v>43</v>
      </c>
      <c r="B55" s="191">
        <v>24501</v>
      </c>
      <c r="C55" s="58">
        <v>20942</v>
      </c>
      <c r="D55" s="191">
        <v>24080</v>
      </c>
      <c r="E55" s="191"/>
      <c r="F55" s="191"/>
      <c r="G55" s="191">
        <f t="shared" si="3"/>
        <v>24080</v>
      </c>
      <c r="H55" s="191">
        <v>23727</v>
      </c>
      <c r="I55" s="126">
        <f t="shared" si="4"/>
        <v>98.53405315614619</v>
      </c>
      <c r="J55" s="161">
        <f t="shared" si="5"/>
        <v>98.53405315614619</v>
      </c>
      <c r="K55" s="158">
        <f t="shared" si="6"/>
        <v>96.8409452675401</v>
      </c>
    </row>
    <row r="56" spans="1:11" ht="13.5" thickBot="1">
      <c r="A56" s="42" t="s">
        <v>44</v>
      </c>
      <c r="B56" s="89">
        <v>24097</v>
      </c>
      <c r="C56" s="89">
        <v>23508</v>
      </c>
      <c r="D56" s="89">
        <v>31355</v>
      </c>
      <c r="E56" s="89"/>
      <c r="F56" s="89"/>
      <c r="G56" s="89">
        <f t="shared" si="3"/>
        <v>31355</v>
      </c>
      <c r="H56" s="89">
        <f>31197+1</f>
        <v>31198</v>
      </c>
      <c r="I56" s="129">
        <f t="shared" si="4"/>
        <v>99.4992824110987</v>
      </c>
      <c r="J56" s="194">
        <f t="shared" si="5"/>
        <v>99.4992824110987</v>
      </c>
      <c r="K56" s="195">
        <f t="shared" si="6"/>
        <v>129.4683985558368</v>
      </c>
    </row>
    <row r="57" spans="1:11" ht="12.75">
      <c r="A57" s="10" t="s">
        <v>45</v>
      </c>
      <c r="B57" s="58">
        <v>15040</v>
      </c>
      <c r="C57" s="58">
        <v>15117</v>
      </c>
      <c r="D57" s="58">
        <v>15268</v>
      </c>
      <c r="E57" s="58"/>
      <c r="F57" s="58"/>
      <c r="G57" s="58">
        <f t="shared" si="3"/>
        <v>15268</v>
      </c>
      <c r="H57" s="58">
        <v>14677</v>
      </c>
      <c r="I57" s="126">
        <f t="shared" si="4"/>
        <v>96.12915902541262</v>
      </c>
      <c r="J57" s="161">
        <f t="shared" si="5"/>
        <v>96.12915902541262</v>
      </c>
      <c r="K57" s="158">
        <f t="shared" si="6"/>
        <v>97.58643617021276</v>
      </c>
    </row>
    <row r="58" spans="1:11" ht="12.75" hidden="1">
      <c r="A58" s="10" t="s">
        <v>86</v>
      </c>
      <c r="B58" s="58"/>
      <c r="C58" s="58">
        <v>4161193</v>
      </c>
      <c r="D58" s="58"/>
      <c r="E58" s="58"/>
      <c r="F58" s="58"/>
      <c r="G58" s="58">
        <f>D58+E58+F58</f>
        <v>0</v>
      </c>
      <c r="H58" s="58"/>
      <c r="I58" s="126" t="e">
        <f t="shared" si="4"/>
        <v>#DIV/0!</v>
      </c>
      <c r="J58" s="161">
        <v>0</v>
      </c>
      <c r="K58" s="158" t="e">
        <f t="shared" si="6"/>
        <v>#DIV/0!</v>
      </c>
    </row>
    <row r="59" spans="1:11" ht="12.75">
      <c r="A59" s="10" t="s">
        <v>46</v>
      </c>
      <c r="B59" s="58">
        <f>B41/B57/12*1000</f>
        <v>25327.061170212768</v>
      </c>
      <c r="C59" s="58">
        <f>C41/C57/12*1000</f>
        <v>22938.816123128487</v>
      </c>
      <c r="D59" s="58">
        <f>D41/D57/12*1000</f>
        <v>23648.436817745176</v>
      </c>
      <c r="E59" s="58"/>
      <c r="F59" s="58"/>
      <c r="G59" s="58">
        <f>G41/G57/12*1000</f>
        <v>23648.436817745176</v>
      </c>
      <c r="H59" s="58">
        <f>H41/H57/12*1000</f>
        <v>24600.690422656764</v>
      </c>
      <c r="I59" s="126">
        <f t="shared" si="4"/>
        <v>104.0267084554064</v>
      </c>
      <c r="J59" s="161">
        <f>H59/G59*100</f>
        <v>104.0267084554064</v>
      </c>
      <c r="K59" s="158">
        <f t="shared" si="6"/>
        <v>97.13203698338957</v>
      </c>
    </row>
    <row r="60" spans="1:11" ht="13.5" thickBot="1">
      <c r="A60" s="6" t="s">
        <v>47</v>
      </c>
      <c r="B60" s="90">
        <f>B46/B57*1000</f>
        <v>66129.65425531915</v>
      </c>
      <c r="C60" s="90">
        <f>C46/C57*1000</f>
        <v>89703.57875239795</v>
      </c>
      <c r="D60" s="90">
        <f>D46/D57*1000</f>
        <v>91319.0332722033</v>
      </c>
      <c r="E60" s="90"/>
      <c r="F60" s="90"/>
      <c r="G60" s="90">
        <f>G46/G57*1000</f>
        <v>91404.70264605712</v>
      </c>
      <c r="H60" s="90">
        <f>H46/H57*1000</f>
        <v>89421.88458131772</v>
      </c>
      <c r="I60" s="167">
        <f t="shared" si="4"/>
        <v>97.92250462701398</v>
      </c>
      <c r="J60" s="196">
        <f>H60/G60*100</f>
        <v>97.83072642069916</v>
      </c>
      <c r="K60" s="169">
        <f t="shared" si="6"/>
        <v>135.2220657862052</v>
      </c>
    </row>
    <row r="61" spans="2:11" ht="12.75">
      <c r="B61" s="106"/>
      <c r="C61" s="105"/>
      <c r="D61" s="105"/>
      <c r="E61" s="105"/>
      <c r="F61" s="105"/>
      <c r="G61" s="105"/>
      <c r="H61" s="105"/>
      <c r="I61" s="105"/>
      <c r="J61" s="105"/>
      <c r="K61" s="105"/>
    </row>
    <row r="62" ht="12.75">
      <c r="A62" s="2" t="s">
        <v>64</v>
      </c>
    </row>
    <row r="63" spans="1:2" ht="12.75">
      <c r="A63" s="97" t="s">
        <v>79</v>
      </c>
      <c r="B63" s="84"/>
    </row>
    <row r="64" ht="12.75">
      <c r="A64" s="97" t="s">
        <v>72</v>
      </c>
    </row>
    <row r="65" ht="12.75">
      <c r="A65" s="97" t="s">
        <v>80</v>
      </c>
    </row>
    <row r="66" ht="12.75">
      <c r="A66" s="2" t="s">
        <v>74</v>
      </c>
    </row>
    <row r="67" ht="12.75">
      <c r="A67" s="2" t="s">
        <v>78</v>
      </c>
    </row>
    <row r="68" spans="1:10" ht="12.75">
      <c r="A68" s="204" t="s">
        <v>73</v>
      </c>
      <c r="B68" s="205"/>
      <c r="C68" s="205"/>
      <c r="D68" s="205"/>
      <c r="E68" s="205"/>
      <c r="F68" s="205"/>
      <c r="G68" s="205"/>
      <c r="H68" s="205"/>
      <c r="I68" s="205"/>
      <c r="J68" s="205"/>
    </row>
  </sheetData>
  <sheetProtection/>
  <mergeCells count="1">
    <mergeCell ref="A68:J68"/>
  </mergeCells>
  <printOptions horizontalCentered="1"/>
  <pageMargins left="0.3937007874015748" right="0" top="0.5905511811023623" bottom="0" header="0.5118110236220472" footer="0.5118110236220472"/>
  <pageSetup horizontalDpi="600" verticalDpi="600" orientation="portrait" paperSize="9" scale="75" r:id="rId1"/>
  <headerFooter alignWithMargins="0">
    <oddHeader>&amp;R&amp;"Arial CE,Tučné"&amp;12&amp;UPříloha č. 3 b)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workbookViewId="0" topLeftCell="A1">
      <pane xSplit="1" ySplit="8" topLeftCell="B27" activePane="bottomRight" state="frozen"/>
      <selection pane="topLeft" activeCell="L35" sqref="L35"/>
      <selection pane="topRight" activeCell="L35" sqref="L35"/>
      <selection pane="bottomLeft" activeCell="L35" sqref="L35"/>
      <selection pane="bottomRight" activeCell="N42" sqref="N42"/>
    </sheetView>
  </sheetViews>
  <sheetFormatPr defaultColWidth="9.125" defaultRowHeight="12.75"/>
  <cols>
    <col min="1" max="1" width="33.125" style="2" customWidth="1"/>
    <col min="2" max="2" width="10.125" style="39" customWidth="1"/>
    <col min="3" max="3" width="9.25390625" style="2" customWidth="1"/>
    <col min="4" max="4" width="9.75390625" style="2" customWidth="1"/>
    <col min="5" max="5" width="10.625" style="2" customWidth="1"/>
    <col min="6" max="6" width="11.125" style="2" customWidth="1"/>
    <col min="7" max="7" width="10.125" style="2" customWidth="1"/>
    <col min="8" max="9" width="10.00390625" style="2" customWidth="1"/>
    <col min="10" max="10" width="8.00390625" style="2" customWidth="1"/>
    <col min="11" max="11" width="8.375" style="2" customWidth="1"/>
    <col min="12" max="16384" width="9.125" style="2" customWidth="1"/>
  </cols>
  <sheetData>
    <row r="1" spans="1:2" ht="12.75">
      <c r="A1" s="124" t="s">
        <v>50</v>
      </c>
      <c r="B1" s="38"/>
    </row>
    <row r="2" ht="12.75">
      <c r="A2" s="2" t="s">
        <v>89</v>
      </c>
    </row>
    <row r="3" spans="8:11" ht="13.5" thickBot="1">
      <c r="H3" s="3"/>
      <c r="I3" s="3"/>
      <c r="K3" s="23"/>
    </row>
    <row r="4" spans="1:11" ht="12.75">
      <c r="A4" s="4"/>
      <c r="B4" s="41">
        <v>2010</v>
      </c>
      <c r="C4" s="26"/>
      <c r="D4" s="26">
        <v>2011</v>
      </c>
      <c r="E4" s="26"/>
      <c r="F4" s="26"/>
      <c r="G4" s="26"/>
      <c r="H4" s="26"/>
      <c r="I4" s="26"/>
      <c r="J4" s="27"/>
      <c r="K4" s="18" t="s">
        <v>76</v>
      </c>
    </row>
    <row r="5" spans="1:11" ht="12.75">
      <c r="A5" s="5" t="s">
        <v>0</v>
      </c>
      <c r="B5" s="40" t="s">
        <v>1</v>
      </c>
      <c r="C5" s="28" t="s">
        <v>91</v>
      </c>
      <c r="D5" s="29"/>
      <c r="E5" s="95"/>
      <c r="F5" s="95"/>
      <c r="G5" s="95"/>
      <c r="H5" s="24" t="s">
        <v>1</v>
      </c>
      <c r="I5" s="24" t="s">
        <v>2</v>
      </c>
      <c r="J5" s="24" t="s">
        <v>2</v>
      </c>
      <c r="K5" s="18" t="s">
        <v>3</v>
      </c>
    </row>
    <row r="6" spans="1:11" ht="13.5" thickBot="1">
      <c r="A6" s="6"/>
      <c r="B6" s="30" t="s">
        <v>90</v>
      </c>
      <c r="C6" s="25" t="s">
        <v>4</v>
      </c>
      <c r="D6" s="25" t="s">
        <v>65</v>
      </c>
      <c r="E6" s="96" t="s">
        <v>60</v>
      </c>
      <c r="F6" s="96" t="s">
        <v>61</v>
      </c>
      <c r="G6" s="96" t="s">
        <v>70</v>
      </c>
      <c r="H6" s="30" t="s">
        <v>90</v>
      </c>
      <c r="I6" s="25" t="s">
        <v>95</v>
      </c>
      <c r="J6" s="25" t="s">
        <v>71</v>
      </c>
      <c r="K6" s="59" t="s">
        <v>5</v>
      </c>
    </row>
    <row r="7" spans="1:11" ht="13.5" thickBot="1">
      <c r="A7" s="6" t="s">
        <v>6</v>
      </c>
      <c r="B7" s="30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19" t="s">
        <v>94</v>
      </c>
      <c r="J7" s="30" t="s">
        <v>62</v>
      </c>
      <c r="K7" s="19" t="s">
        <v>63</v>
      </c>
    </row>
    <row r="8" spans="1:12" ht="12.75">
      <c r="A8" s="14" t="s">
        <v>7</v>
      </c>
      <c r="B8" s="62">
        <f>SUM(B10:B28)-B12</f>
        <v>1675483</v>
      </c>
      <c r="C8" s="9">
        <f>SUM(C10:C28)-C12</f>
        <v>1505851</v>
      </c>
      <c r="D8" s="45">
        <f>SUM(D10:D28)-D12</f>
        <v>1507622</v>
      </c>
      <c r="E8" s="100" t="s">
        <v>69</v>
      </c>
      <c r="F8" s="45">
        <f>SUM(F10:F28)</f>
        <v>7211</v>
      </c>
      <c r="G8" s="45">
        <f>D8+F8</f>
        <v>1514833</v>
      </c>
      <c r="H8" s="108">
        <f>H10+H11+H13+H14+H15+H16+H17+H18+H19+H20+H21+H22+H23+H25+H26+H27+H28</f>
        <v>1681131</v>
      </c>
      <c r="I8" s="203">
        <f aca="true" t="shared" si="0" ref="I8:I30">H8/D8*100</f>
        <v>111.50878668525665</v>
      </c>
      <c r="J8" s="31">
        <f>H8/G8*100</f>
        <v>110.97797579007059</v>
      </c>
      <c r="K8" s="49">
        <f>H8/B8*100</f>
        <v>100.33709682521399</v>
      </c>
      <c r="L8" s="39"/>
    </row>
    <row r="9" spans="1:13" ht="12.75">
      <c r="A9" s="10" t="s">
        <v>8</v>
      </c>
      <c r="B9" s="11"/>
      <c r="C9" s="11"/>
      <c r="D9" s="11"/>
      <c r="E9" s="99"/>
      <c r="F9" s="11"/>
      <c r="G9" s="11"/>
      <c r="H9" s="104"/>
      <c r="I9" s="11"/>
      <c r="J9" s="32"/>
      <c r="K9" s="50"/>
      <c r="M9" s="39"/>
    </row>
    <row r="10" spans="1:11" ht="12.75">
      <c r="A10" s="71" t="s">
        <v>58</v>
      </c>
      <c r="B10" s="11">
        <v>6526</v>
      </c>
      <c r="C10" s="11">
        <v>2450</v>
      </c>
      <c r="D10" s="11">
        <v>2450</v>
      </c>
      <c r="E10" s="99" t="s">
        <v>69</v>
      </c>
      <c r="F10" s="11"/>
      <c r="G10" s="11">
        <f aca="true" t="shared" si="1" ref="G10:G28">D10+F10</f>
        <v>2450</v>
      </c>
      <c r="H10" s="11">
        <f>7675+1</f>
        <v>7676</v>
      </c>
      <c r="I10" s="32">
        <f t="shared" si="0"/>
        <v>313.3061224489796</v>
      </c>
      <c r="J10" s="32">
        <f>H10/G10*100</f>
        <v>313.3061224489796</v>
      </c>
      <c r="K10" s="50"/>
    </row>
    <row r="11" spans="1:11" ht="12.75">
      <c r="A11" s="71" t="s">
        <v>9</v>
      </c>
      <c r="B11" s="11">
        <v>589132</v>
      </c>
      <c r="C11" s="11">
        <v>600743</v>
      </c>
      <c r="D11" s="11">
        <v>600743</v>
      </c>
      <c r="E11" s="99" t="s">
        <v>69</v>
      </c>
      <c r="F11" s="11"/>
      <c r="G11" s="11">
        <f t="shared" si="1"/>
        <v>600743</v>
      </c>
      <c r="H11" s="11">
        <v>541314</v>
      </c>
      <c r="I11" s="32">
        <f t="shared" si="0"/>
        <v>90.10741698197066</v>
      </c>
      <c r="J11" s="32">
        <f>H11/G11*100</f>
        <v>90.10741698197066</v>
      </c>
      <c r="K11" s="50">
        <f aca="true" t="shared" si="2" ref="K11:K28">H11/B11*100</f>
        <v>91.8833130775446</v>
      </c>
    </row>
    <row r="12" spans="1:13" ht="12.75">
      <c r="A12" s="71" t="s">
        <v>10</v>
      </c>
      <c r="B12" s="11">
        <v>523676</v>
      </c>
      <c r="C12" s="11">
        <v>533994</v>
      </c>
      <c r="D12" s="11">
        <f>410031+123963</f>
        <v>533994</v>
      </c>
      <c r="E12" s="99" t="s">
        <v>69</v>
      </c>
      <c r="F12" s="11"/>
      <c r="G12" s="11">
        <f t="shared" si="1"/>
        <v>533994</v>
      </c>
      <c r="H12" s="11">
        <f>111718+369452+1</f>
        <v>481171</v>
      </c>
      <c r="I12" s="32">
        <f t="shared" si="0"/>
        <v>90.10794128772982</v>
      </c>
      <c r="J12" s="32">
        <f>H12/G12*100</f>
        <v>90.10794128772982</v>
      </c>
      <c r="K12" s="50">
        <f t="shared" si="2"/>
        <v>91.88334008050779</v>
      </c>
      <c r="M12" s="39"/>
    </row>
    <row r="13" spans="1:11" ht="12.75">
      <c r="A13" s="10" t="s">
        <v>11</v>
      </c>
      <c r="B13" s="11">
        <v>43183</v>
      </c>
      <c r="C13" s="11">
        <v>50480</v>
      </c>
      <c r="D13" s="11">
        <v>50480</v>
      </c>
      <c r="E13" s="99" t="s">
        <v>69</v>
      </c>
      <c r="F13" s="11"/>
      <c r="G13" s="11">
        <f t="shared" si="1"/>
        <v>50480</v>
      </c>
      <c r="H13" s="11">
        <f>49080+1</f>
        <v>49081</v>
      </c>
      <c r="I13" s="32">
        <f t="shared" si="0"/>
        <v>97.22860538827258</v>
      </c>
      <c r="J13" s="32">
        <f>H13/G13*100</f>
        <v>97.22860538827258</v>
      </c>
      <c r="K13" s="50">
        <f t="shared" si="2"/>
        <v>113.65815251372067</v>
      </c>
    </row>
    <row r="14" spans="1:11" ht="12.75">
      <c r="A14" s="56" t="s">
        <v>54</v>
      </c>
      <c r="B14" s="11"/>
      <c r="C14" s="11"/>
      <c r="D14" s="11"/>
      <c r="E14" s="99" t="s">
        <v>69</v>
      </c>
      <c r="F14" s="11"/>
      <c r="G14" s="11">
        <f t="shared" si="1"/>
        <v>0</v>
      </c>
      <c r="H14" s="11"/>
      <c r="I14" s="32"/>
      <c r="J14" s="32"/>
      <c r="K14" s="50"/>
    </row>
    <row r="15" spans="1:11" ht="12.75">
      <c r="A15" s="10" t="s">
        <v>12</v>
      </c>
      <c r="B15" s="11">
        <v>11502</v>
      </c>
      <c r="C15" s="11">
        <v>3900</v>
      </c>
      <c r="D15" s="11">
        <v>3900</v>
      </c>
      <c r="E15" s="99" t="s">
        <v>69</v>
      </c>
      <c r="F15" s="11"/>
      <c r="G15" s="11">
        <f t="shared" si="1"/>
        <v>3900</v>
      </c>
      <c r="H15" s="11">
        <f>6736+1</f>
        <v>6737</v>
      </c>
      <c r="I15" s="32">
        <f t="shared" si="0"/>
        <v>172.74358974358975</v>
      </c>
      <c r="J15" s="32">
        <f>H15/G15*100</f>
        <v>172.74358974358975</v>
      </c>
      <c r="K15" s="50">
        <f t="shared" si="2"/>
        <v>58.57242218744566</v>
      </c>
    </row>
    <row r="16" spans="1:11" ht="12.75">
      <c r="A16" s="10" t="s">
        <v>13</v>
      </c>
      <c r="B16" s="11">
        <v>6787</v>
      </c>
      <c r="C16" s="11">
        <v>6000</v>
      </c>
      <c r="D16" s="11">
        <v>6000</v>
      </c>
      <c r="E16" s="99" t="s">
        <v>69</v>
      </c>
      <c r="F16" s="11"/>
      <c r="G16" s="11">
        <f t="shared" si="1"/>
        <v>6000</v>
      </c>
      <c r="H16" s="11">
        <f>1406+1</f>
        <v>1407</v>
      </c>
      <c r="I16" s="32">
        <f t="shared" si="0"/>
        <v>23.45</v>
      </c>
      <c r="J16" s="32">
        <f>H16/G16*100</f>
        <v>23.45</v>
      </c>
      <c r="K16" s="50">
        <f t="shared" si="2"/>
        <v>20.730808899366433</v>
      </c>
    </row>
    <row r="17" spans="1:11" ht="12.75">
      <c r="A17" s="10" t="s">
        <v>14</v>
      </c>
      <c r="B17" s="11">
        <v>918395</v>
      </c>
      <c r="C17" s="11">
        <v>760000</v>
      </c>
      <c r="D17" s="11">
        <v>760000</v>
      </c>
      <c r="E17" s="99" t="s">
        <v>69</v>
      </c>
      <c r="F17" s="11"/>
      <c r="G17" s="11">
        <f t="shared" si="1"/>
        <v>760000</v>
      </c>
      <c r="H17" s="11">
        <v>941783</v>
      </c>
      <c r="I17" s="32">
        <f t="shared" si="0"/>
        <v>123.91881578947368</v>
      </c>
      <c r="J17" s="32">
        <f>H17/G17*100</f>
        <v>123.91881578947368</v>
      </c>
      <c r="K17" s="50">
        <f t="shared" si="2"/>
        <v>102.54661665187636</v>
      </c>
    </row>
    <row r="18" spans="1:11" ht="12.75">
      <c r="A18" s="10" t="s">
        <v>15</v>
      </c>
      <c r="B18" s="11">
        <v>48</v>
      </c>
      <c r="C18" s="11"/>
      <c r="D18" s="11"/>
      <c r="E18" s="99" t="s">
        <v>69</v>
      </c>
      <c r="F18" s="11"/>
      <c r="G18" s="11">
        <f t="shared" si="1"/>
        <v>0</v>
      </c>
      <c r="H18" s="11">
        <v>16</v>
      </c>
      <c r="I18" s="32"/>
      <c r="J18" s="32">
        <v>0</v>
      </c>
      <c r="K18" s="50">
        <f t="shared" si="2"/>
        <v>33.33333333333333</v>
      </c>
    </row>
    <row r="19" spans="1:11" ht="12.75">
      <c r="A19" s="10" t="s">
        <v>16</v>
      </c>
      <c r="B19" s="11">
        <v>8933</v>
      </c>
      <c r="C19" s="11">
        <v>6100</v>
      </c>
      <c r="D19" s="11">
        <v>6100</v>
      </c>
      <c r="E19" s="99" t="s">
        <v>69</v>
      </c>
      <c r="F19" s="11"/>
      <c r="G19" s="11">
        <f t="shared" si="1"/>
        <v>6100</v>
      </c>
      <c r="H19" s="11">
        <v>33887</v>
      </c>
      <c r="I19" s="32">
        <f t="shared" si="0"/>
        <v>555.5245901639344</v>
      </c>
      <c r="J19" s="32">
        <f>H19/G19*100</f>
        <v>555.5245901639344</v>
      </c>
      <c r="K19" s="50">
        <f t="shared" si="2"/>
        <v>379.34624426284563</v>
      </c>
    </row>
    <row r="20" spans="1:11" ht="12.75">
      <c r="A20" s="10" t="s">
        <v>59</v>
      </c>
      <c r="B20" s="11">
        <v>9481</v>
      </c>
      <c r="C20" s="11">
        <v>7400</v>
      </c>
      <c r="D20" s="11">
        <v>7400</v>
      </c>
      <c r="E20" s="99" t="s">
        <v>69</v>
      </c>
      <c r="F20" s="11"/>
      <c r="G20" s="11">
        <f t="shared" si="1"/>
        <v>7400</v>
      </c>
      <c r="H20" s="11">
        <f>8589+1</f>
        <v>8590</v>
      </c>
      <c r="I20" s="32">
        <f t="shared" si="0"/>
        <v>116.08108108108108</v>
      </c>
      <c r="J20" s="32">
        <f>H20/G20*100</f>
        <v>116.08108108108108</v>
      </c>
      <c r="K20" s="50">
        <f t="shared" si="2"/>
        <v>90.6022571458707</v>
      </c>
    </row>
    <row r="21" spans="1:11" ht="12.75">
      <c r="A21" s="57" t="s">
        <v>55</v>
      </c>
      <c r="B21" s="11"/>
      <c r="C21" s="11"/>
      <c r="D21" s="11"/>
      <c r="E21" s="99" t="s">
        <v>69</v>
      </c>
      <c r="F21" s="11"/>
      <c r="G21" s="11"/>
      <c r="H21" s="11"/>
      <c r="I21" s="32"/>
      <c r="J21" s="32"/>
      <c r="K21" s="50"/>
    </row>
    <row r="22" spans="1:11" ht="12.75">
      <c r="A22" s="10" t="s">
        <v>17</v>
      </c>
      <c r="B22" s="11">
        <v>28248</v>
      </c>
      <c r="C22" s="11">
        <v>8500</v>
      </c>
      <c r="D22" s="11">
        <v>8500</v>
      </c>
      <c r="E22" s="99" t="s">
        <v>69</v>
      </c>
      <c r="F22" s="11"/>
      <c r="G22" s="11">
        <f t="shared" si="1"/>
        <v>8500</v>
      </c>
      <c r="H22" s="58">
        <f>42710+1</f>
        <v>42711</v>
      </c>
      <c r="I22" s="32">
        <f t="shared" si="0"/>
        <v>502.4823529411765</v>
      </c>
      <c r="J22" s="32">
        <f>H22/G22*100</f>
        <v>502.4823529411765</v>
      </c>
      <c r="K22" s="50">
        <f t="shared" si="2"/>
        <v>151.2000849617672</v>
      </c>
    </row>
    <row r="23" spans="1:11" ht="12.75">
      <c r="A23" s="57" t="s">
        <v>56</v>
      </c>
      <c r="B23" s="11"/>
      <c r="C23" s="11"/>
      <c r="D23" s="11"/>
      <c r="E23" s="99" t="s">
        <v>69</v>
      </c>
      <c r="F23" s="11"/>
      <c r="G23" s="11">
        <f t="shared" si="1"/>
        <v>0</v>
      </c>
      <c r="H23" s="11"/>
      <c r="I23" s="32"/>
      <c r="J23" s="32">
        <v>0</v>
      </c>
      <c r="K23" s="50">
        <v>0</v>
      </c>
    </row>
    <row r="24" spans="1:11" ht="12.75" customHeight="1">
      <c r="A24" s="10" t="s">
        <v>18</v>
      </c>
      <c r="B24" s="11"/>
      <c r="C24" s="11"/>
      <c r="D24" s="11"/>
      <c r="E24" s="99" t="s">
        <v>69</v>
      </c>
      <c r="F24" s="11"/>
      <c r="G24" s="11">
        <f t="shared" si="1"/>
        <v>0</v>
      </c>
      <c r="H24" s="11"/>
      <c r="I24" s="32"/>
      <c r="J24" s="32">
        <v>0</v>
      </c>
      <c r="K24" s="50">
        <v>0</v>
      </c>
    </row>
    <row r="25" spans="1:11" ht="12.75" customHeight="1">
      <c r="A25" s="10" t="s">
        <v>87</v>
      </c>
      <c r="B25" s="11"/>
      <c r="C25" s="72">
        <v>1693</v>
      </c>
      <c r="D25" s="11">
        <v>3464</v>
      </c>
      <c r="E25" s="99" t="s">
        <v>69</v>
      </c>
      <c r="F25" s="11"/>
      <c r="G25" s="11">
        <f t="shared" si="1"/>
        <v>3464</v>
      </c>
      <c r="H25" s="11">
        <v>0</v>
      </c>
      <c r="I25" s="32">
        <f t="shared" si="0"/>
        <v>0</v>
      </c>
      <c r="J25" s="32">
        <f>H25/G25*100</f>
        <v>0</v>
      </c>
      <c r="K25" s="50">
        <v>0</v>
      </c>
    </row>
    <row r="26" spans="1:11" ht="12.75" customHeight="1">
      <c r="A26" s="10" t="s">
        <v>57</v>
      </c>
      <c r="B26" s="11">
        <v>39136</v>
      </c>
      <c r="C26" s="72">
        <v>15357</v>
      </c>
      <c r="D26" s="11">
        <v>15357</v>
      </c>
      <c r="E26" s="99" t="s">
        <v>69</v>
      </c>
      <c r="F26" s="11"/>
      <c r="G26" s="11">
        <f t="shared" si="1"/>
        <v>15357</v>
      </c>
      <c r="H26" s="11">
        <v>37589</v>
      </c>
      <c r="I26" s="32">
        <f t="shared" si="0"/>
        <v>244.76785830565865</v>
      </c>
      <c r="J26" s="32">
        <f>H26/G26*100</f>
        <v>244.76785830565865</v>
      </c>
      <c r="K26" s="50">
        <v>0</v>
      </c>
    </row>
    <row r="27" spans="1:11" ht="12.75" customHeight="1">
      <c r="A27" s="71" t="s">
        <v>88</v>
      </c>
      <c r="B27" s="72"/>
      <c r="C27" s="72">
        <v>43228</v>
      </c>
      <c r="D27" s="72">
        <v>43228</v>
      </c>
      <c r="E27" s="99" t="s">
        <v>69</v>
      </c>
      <c r="F27" s="72"/>
      <c r="G27" s="72">
        <f t="shared" si="1"/>
        <v>43228</v>
      </c>
      <c r="H27" s="72">
        <v>0</v>
      </c>
      <c r="I27" s="73">
        <f t="shared" si="0"/>
        <v>0</v>
      </c>
      <c r="J27" s="73">
        <f>H27/G27*100</f>
        <v>0</v>
      </c>
      <c r="K27" s="74">
        <v>0</v>
      </c>
    </row>
    <row r="28" spans="1:11" ht="13.5" thickBot="1">
      <c r="A28" s="6" t="s">
        <v>19</v>
      </c>
      <c r="B28" s="12">
        <v>14112</v>
      </c>
      <c r="C28" s="12"/>
      <c r="D28" s="12"/>
      <c r="E28" s="30" t="s">
        <v>69</v>
      </c>
      <c r="F28" s="12">
        <v>7211</v>
      </c>
      <c r="G28" s="12">
        <f t="shared" si="1"/>
        <v>7211</v>
      </c>
      <c r="H28" s="12">
        <f>3129+7211</f>
        <v>10340</v>
      </c>
      <c r="I28" s="63"/>
      <c r="J28" s="63">
        <f>H28/G28*100</f>
        <v>143.3920399389821</v>
      </c>
      <c r="K28" s="61">
        <f t="shared" si="2"/>
        <v>73.27097505668935</v>
      </c>
    </row>
    <row r="29" spans="1:11" ht="12.75">
      <c r="A29" s="5"/>
      <c r="B29" s="13"/>
      <c r="C29" s="13"/>
      <c r="D29" s="13"/>
      <c r="E29" s="13"/>
      <c r="F29" s="13"/>
      <c r="G29" s="13"/>
      <c r="H29" s="13"/>
      <c r="I29" s="13"/>
      <c r="J29" s="33"/>
      <c r="K29" s="51"/>
    </row>
    <row r="30" spans="1:11" ht="12.75">
      <c r="A30" s="8" t="s">
        <v>20</v>
      </c>
      <c r="B30" s="62">
        <f>B32+B38</f>
        <v>4338739</v>
      </c>
      <c r="C30" s="9">
        <f>C32+C38</f>
        <v>4219131</v>
      </c>
      <c r="D30" s="9">
        <f>D32+D38</f>
        <v>4232952</v>
      </c>
      <c r="E30" s="9">
        <f>E32+E38</f>
        <v>37747</v>
      </c>
      <c r="F30" s="9">
        <f>F32+F38</f>
        <v>8815</v>
      </c>
      <c r="G30" s="9">
        <f aca="true" t="shared" si="3" ref="G30:G57">D30+E30+F30</f>
        <v>4279514</v>
      </c>
      <c r="H30" s="9">
        <f>H32+H38</f>
        <v>4032652</v>
      </c>
      <c r="I30" s="31">
        <f t="shared" si="0"/>
        <v>95.2680776914078</v>
      </c>
      <c r="J30" s="31">
        <f>H30/G30*100</f>
        <v>94.231541245104</v>
      </c>
      <c r="K30" s="49">
        <f>H30/B30*100</f>
        <v>92.94525436999092</v>
      </c>
    </row>
    <row r="31" spans="1:11" ht="12.75">
      <c r="A31" s="10" t="s">
        <v>21</v>
      </c>
      <c r="B31" s="11"/>
      <c r="C31" s="11"/>
      <c r="D31" s="11"/>
      <c r="E31" s="11"/>
      <c r="F31" s="11"/>
      <c r="G31" s="11"/>
      <c r="H31" s="11"/>
      <c r="I31" s="11"/>
      <c r="J31" s="32"/>
      <c r="K31" s="50"/>
    </row>
    <row r="32" spans="1:11" ht="12.75">
      <c r="A32" s="64" t="s">
        <v>22</v>
      </c>
      <c r="B32" s="62">
        <f>B34+B35+B36</f>
        <v>156118</v>
      </c>
      <c r="C32" s="9">
        <f>C34+C35+C36</f>
        <v>164332</v>
      </c>
      <c r="D32" s="9">
        <f>D34+D35+D36</f>
        <v>158782</v>
      </c>
      <c r="E32" s="9">
        <f>E34+E35+E36</f>
        <v>17949</v>
      </c>
      <c r="F32" s="9">
        <f>F34+F35+F36</f>
        <v>1604</v>
      </c>
      <c r="G32" s="9">
        <f t="shared" si="3"/>
        <v>178335</v>
      </c>
      <c r="H32" s="9">
        <f>H34+H35+H36</f>
        <v>127378</v>
      </c>
      <c r="I32" s="31">
        <f>H32/D32*100</f>
        <v>80.22193951455453</v>
      </c>
      <c r="J32" s="31">
        <f>H32/G32*100</f>
        <v>71.42624835281913</v>
      </c>
      <c r="K32" s="49">
        <f>H32/B32*100</f>
        <v>81.59084794834676</v>
      </c>
    </row>
    <row r="33" spans="1:11" ht="12.75">
      <c r="A33" s="10" t="s">
        <v>23</v>
      </c>
      <c r="B33" s="11"/>
      <c r="C33" s="11"/>
      <c r="D33" s="11"/>
      <c r="E33" s="11"/>
      <c r="F33" s="11"/>
      <c r="G33" s="11"/>
      <c r="H33" s="11"/>
      <c r="I33" s="11"/>
      <c r="J33" s="32"/>
      <c r="K33" s="50"/>
    </row>
    <row r="34" spans="1:11" ht="12.75">
      <c r="A34" s="10" t="s">
        <v>24</v>
      </c>
      <c r="B34" s="11">
        <v>85389</v>
      </c>
      <c r="C34" s="11">
        <v>102552</v>
      </c>
      <c r="D34" s="11">
        <v>116932</v>
      </c>
      <c r="E34" s="11">
        <v>1</v>
      </c>
      <c r="F34" s="11">
        <v>0</v>
      </c>
      <c r="G34" s="11">
        <f t="shared" si="3"/>
        <v>116933</v>
      </c>
      <c r="H34" s="11">
        <v>74322</v>
      </c>
      <c r="I34" s="32">
        <f aca="true" t="shared" si="4" ref="I34:I60">H34/D34*100</f>
        <v>63.56001778811618</v>
      </c>
      <c r="J34" s="32">
        <f>H34/G34*100</f>
        <v>63.55947422883189</v>
      </c>
      <c r="K34" s="50">
        <f>H34/B34*100</f>
        <v>87.03931419737906</v>
      </c>
    </row>
    <row r="35" spans="1:11" ht="12.75">
      <c r="A35" s="10" t="s">
        <v>25</v>
      </c>
      <c r="B35" s="11">
        <v>69954</v>
      </c>
      <c r="C35" s="11">
        <v>61780</v>
      </c>
      <c r="D35" s="11">
        <v>41850</v>
      </c>
      <c r="E35" s="11">
        <v>17948</v>
      </c>
      <c r="F35" s="11">
        <v>1604</v>
      </c>
      <c r="G35" s="11">
        <f t="shared" si="3"/>
        <v>61402</v>
      </c>
      <c r="H35" s="11">
        <f>53055+1</f>
        <v>53056</v>
      </c>
      <c r="I35" s="32">
        <f t="shared" si="4"/>
        <v>126.77658303464756</v>
      </c>
      <c r="J35" s="32">
        <f>H35/G35*100</f>
        <v>86.40760887267515</v>
      </c>
      <c r="K35" s="50">
        <f>H35/B35*100</f>
        <v>75.84412614003489</v>
      </c>
    </row>
    <row r="36" spans="1:11" ht="12.75">
      <c r="A36" s="14" t="s">
        <v>26</v>
      </c>
      <c r="B36" s="15">
        <v>775</v>
      </c>
      <c r="C36" s="15"/>
      <c r="D36" s="15"/>
      <c r="E36" s="15"/>
      <c r="F36" s="15"/>
      <c r="G36" s="15">
        <f t="shared" si="3"/>
        <v>0</v>
      </c>
      <c r="H36" s="15">
        <v>0</v>
      </c>
      <c r="I36" s="15"/>
      <c r="J36" s="34">
        <v>0</v>
      </c>
      <c r="K36" s="49">
        <v>0</v>
      </c>
    </row>
    <row r="37" spans="1:11" ht="12.75">
      <c r="A37" s="5"/>
      <c r="B37" s="13"/>
      <c r="C37" s="13"/>
      <c r="D37" s="13"/>
      <c r="E37" s="13"/>
      <c r="F37" s="13"/>
      <c r="G37" s="13">
        <f t="shared" si="3"/>
        <v>0</v>
      </c>
      <c r="H37" s="13"/>
      <c r="I37" s="13"/>
      <c r="J37" s="33"/>
      <c r="K37" s="51"/>
    </row>
    <row r="38" spans="1:11" ht="12.75">
      <c r="A38" s="8" t="s">
        <v>27</v>
      </c>
      <c r="B38" s="62">
        <f>B40+B43+B44+B45+B46</f>
        <v>4182621</v>
      </c>
      <c r="C38" s="9">
        <f>C40+C46+C43+C44+C45</f>
        <v>4054799</v>
      </c>
      <c r="D38" s="9">
        <f>D40+D46+D43+D44+D45</f>
        <v>4074170</v>
      </c>
      <c r="E38" s="9">
        <f>E40+E46+E43+E44+E45</f>
        <v>19798</v>
      </c>
      <c r="F38" s="9">
        <f>F40+F46+F43+F44+F45</f>
        <v>7211</v>
      </c>
      <c r="G38" s="9">
        <f t="shared" si="3"/>
        <v>4101179</v>
      </c>
      <c r="H38" s="9">
        <f>H40+H43+H44+H45+H46</f>
        <v>3905274</v>
      </c>
      <c r="I38" s="31">
        <f t="shared" si="4"/>
        <v>95.85446851751401</v>
      </c>
      <c r="J38" s="31">
        <f>H38/G38*100</f>
        <v>95.22320288873028</v>
      </c>
      <c r="K38" s="49">
        <f>H38/B38*100</f>
        <v>93.3690621263557</v>
      </c>
    </row>
    <row r="39" spans="1:11" ht="12.75">
      <c r="A39" s="10" t="s">
        <v>23</v>
      </c>
      <c r="B39" s="11"/>
      <c r="C39" s="11"/>
      <c r="D39" s="11"/>
      <c r="E39" s="11"/>
      <c r="F39" s="11"/>
      <c r="G39" s="11"/>
      <c r="H39" s="11"/>
      <c r="I39" s="11"/>
      <c r="J39" s="32"/>
      <c r="K39" s="50"/>
    </row>
    <row r="40" spans="1:11" ht="12.75">
      <c r="A40" s="16" t="s">
        <v>28</v>
      </c>
      <c r="B40" s="21">
        <f>B41+B42</f>
        <v>2280084</v>
      </c>
      <c r="C40" s="17">
        <f>C41+C42</f>
        <v>2124738</v>
      </c>
      <c r="D40" s="17">
        <f>D41+D42</f>
        <v>2124738</v>
      </c>
      <c r="E40" s="17">
        <f>E41+E42</f>
        <v>598</v>
      </c>
      <c r="F40" s="17">
        <f>F41+F42</f>
        <v>0</v>
      </c>
      <c r="G40" s="17">
        <f t="shared" si="3"/>
        <v>2125336</v>
      </c>
      <c r="H40" s="17">
        <f>H41+H42</f>
        <v>2123849</v>
      </c>
      <c r="I40" s="35">
        <f t="shared" si="4"/>
        <v>99.95815954720064</v>
      </c>
      <c r="J40" s="35">
        <f aca="true" t="shared" si="5" ref="J40:J46">H40/G40*100</f>
        <v>99.93003459217744</v>
      </c>
      <c r="K40" s="50">
        <f aca="true" t="shared" si="6" ref="K40:K60">H40/B40*100</f>
        <v>93.14784016729209</v>
      </c>
    </row>
    <row r="41" spans="1:11" ht="12.75">
      <c r="A41" s="10" t="s">
        <v>29</v>
      </c>
      <c r="B41" s="11">
        <v>2269263</v>
      </c>
      <c r="C41" s="11">
        <v>2115394</v>
      </c>
      <c r="D41" s="11">
        <v>2115394</v>
      </c>
      <c r="E41" s="11"/>
      <c r="F41" s="11"/>
      <c r="G41" s="11">
        <f t="shared" si="3"/>
        <v>2115394</v>
      </c>
      <c r="H41" s="58">
        <v>2115394</v>
      </c>
      <c r="I41" s="126">
        <f t="shared" si="4"/>
        <v>100</v>
      </c>
      <c r="J41" s="32">
        <f t="shared" si="5"/>
        <v>100</v>
      </c>
      <c r="K41" s="50">
        <f t="shared" si="6"/>
        <v>93.21942851048996</v>
      </c>
    </row>
    <row r="42" spans="1:11" ht="12.75">
      <c r="A42" s="44" t="s">
        <v>30</v>
      </c>
      <c r="B42" s="11">
        <v>10821</v>
      </c>
      <c r="C42" s="11">
        <v>9344</v>
      </c>
      <c r="D42" s="11">
        <v>9344</v>
      </c>
      <c r="E42" s="11">
        <v>598</v>
      </c>
      <c r="F42" s="11"/>
      <c r="G42" s="11">
        <f t="shared" si="3"/>
        <v>9942</v>
      </c>
      <c r="H42" s="58">
        <v>8455</v>
      </c>
      <c r="I42" s="126">
        <f t="shared" si="4"/>
        <v>90.48587328767124</v>
      </c>
      <c r="J42" s="32">
        <f t="shared" si="5"/>
        <v>85.04325085495876</v>
      </c>
      <c r="K42" s="50">
        <f t="shared" si="6"/>
        <v>78.13510766102948</v>
      </c>
    </row>
    <row r="43" spans="1:11" ht="12.75">
      <c r="A43" s="20" t="s">
        <v>31</v>
      </c>
      <c r="B43" s="21">
        <v>774379</v>
      </c>
      <c r="C43" s="21">
        <v>722412</v>
      </c>
      <c r="D43" s="21">
        <v>722412</v>
      </c>
      <c r="E43" s="21">
        <v>204</v>
      </c>
      <c r="F43" s="21"/>
      <c r="G43" s="21">
        <f t="shared" si="3"/>
        <v>722616</v>
      </c>
      <c r="H43" s="101">
        <v>722109</v>
      </c>
      <c r="I43" s="127">
        <f t="shared" si="4"/>
        <v>99.95805717512998</v>
      </c>
      <c r="J43" s="36">
        <f t="shared" si="5"/>
        <v>99.92983825434256</v>
      </c>
      <c r="K43" s="50">
        <f t="shared" si="6"/>
        <v>93.25007522156463</v>
      </c>
    </row>
    <row r="44" spans="1:11" ht="12.75">
      <c r="A44" s="20" t="s">
        <v>32</v>
      </c>
      <c r="B44" s="21">
        <v>45386</v>
      </c>
      <c r="C44" s="21">
        <v>21154</v>
      </c>
      <c r="D44" s="21">
        <v>21154</v>
      </c>
      <c r="E44" s="21"/>
      <c r="F44" s="21"/>
      <c r="G44" s="21">
        <f t="shared" si="3"/>
        <v>21154</v>
      </c>
      <c r="H44" s="101">
        <f>21153+1</f>
        <v>21154</v>
      </c>
      <c r="I44" s="127">
        <f t="shared" si="4"/>
        <v>100</v>
      </c>
      <c r="J44" s="36">
        <f t="shared" si="5"/>
        <v>100</v>
      </c>
      <c r="K44" s="50">
        <f t="shared" si="6"/>
        <v>46.60908650244569</v>
      </c>
    </row>
    <row r="45" spans="1:11" ht="12.75">
      <c r="A45" s="20" t="s">
        <v>49</v>
      </c>
      <c r="B45" s="21">
        <v>421599</v>
      </c>
      <c r="C45" s="17">
        <v>589012</v>
      </c>
      <c r="D45" s="21">
        <f>15704+64+6483+566761</f>
        <v>589012</v>
      </c>
      <c r="E45" s="21"/>
      <c r="F45" s="21"/>
      <c r="G45" s="21">
        <f t="shared" si="3"/>
        <v>589012</v>
      </c>
      <c r="H45" s="101">
        <f>8500+9+1+5756+1+400002+1</f>
        <v>414270</v>
      </c>
      <c r="I45" s="125">
        <f t="shared" si="4"/>
        <v>70.33303226419835</v>
      </c>
      <c r="J45" s="36">
        <f t="shared" si="5"/>
        <v>70.33303226419835</v>
      </c>
      <c r="K45" s="50">
        <f t="shared" si="6"/>
        <v>98.26161826759551</v>
      </c>
    </row>
    <row r="46" spans="1:11" ht="12.75">
      <c r="A46" s="20" t="s">
        <v>34</v>
      </c>
      <c r="B46" s="21">
        <f>B48+B49+B50+B52+B56</f>
        <v>661173</v>
      </c>
      <c r="C46" s="17">
        <f>C48+C49+C50+C52+C56</f>
        <v>597483</v>
      </c>
      <c r="D46" s="17">
        <f>D48+D49+D50+D52+D56</f>
        <v>616854</v>
      </c>
      <c r="E46" s="17">
        <f>E48+E49+E50+E52+E56</f>
        <v>18996</v>
      </c>
      <c r="F46" s="17">
        <f>F48+F49+F50+F52+F56</f>
        <v>7211</v>
      </c>
      <c r="G46" s="17">
        <f t="shared" si="3"/>
        <v>643061</v>
      </c>
      <c r="H46" s="88">
        <f>H48+H49+H50+H52+H56</f>
        <v>623892</v>
      </c>
      <c r="I46" s="128">
        <f t="shared" si="4"/>
        <v>101.14095069497806</v>
      </c>
      <c r="J46" s="35">
        <f t="shared" si="5"/>
        <v>97.0191008318029</v>
      </c>
      <c r="K46" s="50">
        <f t="shared" si="6"/>
        <v>94.3613849930351</v>
      </c>
    </row>
    <row r="47" spans="1:11" ht="12.75">
      <c r="A47" s="10" t="s">
        <v>35</v>
      </c>
      <c r="B47" s="11"/>
      <c r="C47" s="11"/>
      <c r="D47" s="11"/>
      <c r="E47" s="11"/>
      <c r="F47" s="11"/>
      <c r="G47" s="11"/>
      <c r="H47" s="58"/>
      <c r="I47" s="58"/>
      <c r="J47" s="32"/>
      <c r="K47" s="50"/>
    </row>
    <row r="48" spans="1:11" ht="12.75">
      <c r="A48" s="10" t="s">
        <v>36</v>
      </c>
      <c r="B48" s="11">
        <v>68347</v>
      </c>
      <c r="C48" s="11">
        <v>61811</v>
      </c>
      <c r="D48" s="11">
        <v>76437</v>
      </c>
      <c r="E48" s="11">
        <v>4942</v>
      </c>
      <c r="F48" s="11"/>
      <c r="G48" s="11">
        <f t="shared" si="3"/>
        <v>81379</v>
      </c>
      <c r="H48" s="58">
        <v>80325</v>
      </c>
      <c r="I48" s="126">
        <f t="shared" si="4"/>
        <v>105.0865418580007</v>
      </c>
      <c r="J48" s="32">
        <f aca="true" t="shared" si="7" ref="J48:J60">H48/G48*100</f>
        <v>98.70482556925005</v>
      </c>
      <c r="K48" s="50">
        <f t="shared" si="6"/>
        <v>117.52527543271833</v>
      </c>
    </row>
    <row r="49" spans="1:11" ht="12.75">
      <c r="A49" s="10" t="s">
        <v>37</v>
      </c>
      <c r="B49" s="11">
        <v>114903</v>
      </c>
      <c r="C49" s="11">
        <v>111359</v>
      </c>
      <c r="D49" s="11">
        <v>106090</v>
      </c>
      <c r="E49" s="11"/>
      <c r="F49" s="11"/>
      <c r="G49" s="11">
        <f t="shared" si="3"/>
        <v>106090</v>
      </c>
      <c r="H49" s="58">
        <f>104793+1</f>
        <v>104794</v>
      </c>
      <c r="I49" s="126">
        <f t="shared" si="4"/>
        <v>98.77839570176266</v>
      </c>
      <c r="J49" s="32">
        <f t="shared" si="7"/>
        <v>98.77839570176266</v>
      </c>
      <c r="K49" s="50">
        <f t="shared" si="6"/>
        <v>91.20214441746516</v>
      </c>
    </row>
    <row r="50" spans="1:11" ht="12.75">
      <c r="A50" s="10" t="s">
        <v>38</v>
      </c>
      <c r="B50" s="11">
        <v>337844</v>
      </c>
      <c r="C50" s="11">
        <v>294592</v>
      </c>
      <c r="D50" s="11">
        <v>287221</v>
      </c>
      <c r="E50" s="11">
        <v>9865</v>
      </c>
      <c r="F50" s="11"/>
      <c r="G50" s="11">
        <f t="shared" si="3"/>
        <v>297086</v>
      </c>
      <c r="H50" s="58">
        <v>289542</v>
      </c>
      <c r="I50" s="126">
        <f t="shared" si="4"/>
        <v>100.80808854505763</v>
      </c>
      <c r="J50" s="32">
        <f t="shared" si="7"/>
        <v>97.46066795473365</v>
      </c>
      <c r="K50" s="50">
        <f t="shared" si="6"/>
        <v>85.70286877967345</v>
      </c>
    </row>
    <row r="51" spans="1:11" ht="12.75">
      <c r="A51" s="10" t="s">
        <v>39</v>
      </c>
      <c r="B51" s="11">
        <v>71698</v>
      </c>
      <c r="C51" s="11">
        <v>68485</v>
      </c>
      <c r="D51" s="11">
        <v>66078</v>
      </c>
      <c r="E51" s="11"/>
      <c r="F51" s="11"/>
      <c r="G51" s="11">
        <f t="shared" si="3"/>
        <v>66078</v>
      </c>
      <c r="H51" s="58">
        <f>65995+1</f>
        <v>65996</v>
      </c>
      <c r="I51" s="126">
        <f t="shared" si="4"/>
        <v>99.87590423438965</v>
      </c>
      <c r="J51" s="32">
        <f t="shared" si="7"/>
        <v>99.87590423438965</v>
      </c>
      <c r="K51" s="50">
        <f t="shared" si="6"/>
        <v>92.04719796925995</v>
      </c>
    </row>
    <row r="52" spans="1:11" ht="12.75">
      <c r="A52" s="10" t="s">
        <v>40</v>
      </c>
      <c r="B52" s="11">
        <v>93096</v>
      </c>
      <c r="C52" s="11">
        <v>68339</v>
      </c>
      <c r="D52" s="11">
        <v>89776</v>
      </c>
      <c r="E52" s="11">
        <v>2618</v>
      </c>
      <c r="F52" s="11">
        <v>7211</v>
      </c>
      <c r="G52" s="11">
        <f t="shared" si="3"/>
        <v>99605</v>
      </c>
      <c r="H52" s="58">
        <f>96999+1</f>
        <v>97000</v>
      </c>
      <c r="I52" s="126">
        <f t="shared" si="4"/>
        <v>108.04669399394047</v>
      </c>
      <c r="J52" s="32">
        <f t="shared" si="7"/>
        <v>97.384669444305</v>
      </c>
      <c r="K52" s="50">
        <f t="shared" si="6"/>
        <v>104.19352066683854</v>
      </c>
    </row>
    <row r="53" spans="1:11" ht="12.75">
      <c r="A53" s="10" t="s">
        <v>41</v>
      </c>
      <c r="B53" s="11">
        <v>46018</v>
      </c>
      <c r="C53" s="11">
        <v>30157</v>
      </c>
      <c r="D53" s="11">
        <v>49574</v>
      </c>
      <c r="E53" s="11">
        <v>2618</v>
      </c>
      <c r="F53" s="11"/>
      <c r="G53" s="11">
        <f t="shared" si="3"/>
        <v>52192</v>
      </c>
      <c r="H53" s="58">
        <f>51853+1</f>
        <v>51854</v>
      </c>
      <c r="I53" s="126">
        <f t="shared" si="4"/>
        <v>104.59918505668293</v>
      </c>
      <c r="J53" s="32">
        <f t="shared" si="7"/>
        <v>99.35239117106069</v>
      </c>
      <c r="K53" s="50">
        <f t="shared" si="6"/>
        <v>112.68199400234691</v>
      </c>
    </row>
    <row r="54" spans="1:11" ht="12.75">
      <c r="A54" s="10" t="s">
        <v>42</v>
      </c>
      <c r="B54" s="11">
        <v>1604</v>
      </c>
      <c r="C54" s="11">
        <v>1450</v>
      </c>
      <c r="D54" s="11">
        <v>2540</v>
      </c>
      <c r="E54" s="11"/>
      <c r="F54" s="11"/>
      <c r="G54" s="11">
        <f t="shared" si="3"/>
        <v>2540</v>
      </c>
      <c r="H54" s="58">
        <v>2390</v>
      </c>
      <c r="I54" s="126">
        <f t="shared" si="4"/>
        <v>94.09448818897637</v>
      </c>
      <c r="J54" s="32">
        <f t="shared" si="7"/>
        <v>94.09448818897637</v>
      </c>
      <c r="K54" s="50">
        <f t="shared" si="6"/>
        <v>149.00249376558602</v>
      </c>
    </row>
    <row r="55" spans="1:11" ht="12.75">
      <c r="A55" s="10" t="s">
        <v>43</v>
      </c>
      <c r="B55" s="11">
        <v>34760</v>
      </c>
      <c r="C55" s="11">
        <v>26531</v>
      </c>
      <c r="D55" s="11">
        <v>29530</v>
      </c>
      <c r="E55" s="11"/>
      <c r="F55" s="11">
        <v>7211</v>
      </c>
      <c r="G55" s="11">
        <f t="shared" si="3"/>
        <v>36741</v>
      </c>
      <c r="H55" s="58">
        <v>34688</v>
      </c>
      <c r="I55" s="126">
        <f t="shared" si="4"/>
        <v>117.4669827294277</v>
      </c>
      <c r="J55" s="32">
        <f t="shared" si="7"/>
        <v>94.41223701042432</v>
      </c>
      <c r="K55" s="50">
        <f t="shared" si="6"/>
        <v>99.79286536248561</v>
      </c>
    </row>
    <row r="56" spans="1:11" ht="13.5" thickBot="1">
      <c r="A56" s="42" t="s">
        <v>44</v>
      </c>
      <c r="B56" s="43">
        <v>46983</v>
      </c>
      <c r="C56" s="43">
        <v>61382</v>
      </c>
      <c r="D56" s="43">
        <f>350+8480+43720+2095+2685</f>
        <v>57330</v>
      </c>
      <c r="E56" s="43">
        <f>1570+1</f>
        <v>1571</v>
      </c>
      <c r="F56" s="43"/>
      <c r="G56" s="43">
        <f t="shared" si="3"/>
        <v>58901</v>
      </c>
      <c r="H56" s="89">
        <f>329+2333+7822+37968+1+1920+1570+287+1</f>
        <v>52231</v>
      </c>
      <c r="I56" s="129">
        <f t="shared" si="4"/>
        <v>91.1058782487354</v>
      </c>
      <c r="J56" s="65">
        <f t="shared" si="7"/>
        <v>88.67591382149709</v>
      </c>
      <c r="K56" s="52">
        <f t="shared" si="6"/>
        <v>111.16999765872761</v>
      </c>
    </row>
    <row r="57" spans="1:11" ht="12.75">
      <c r="A57" s="10" t="s">
        <v>45</v>
      </c>
      <c r="B57" s="11">
        <v>5890</v>
      </c>
      <c r="C57" s="11">
        <v>5884</v>
      </c>
      <c r="D57" s="11">
        <v>5884</v>
      </c>
      <c r="E57" s="11"/>
      <c r="F57" s="11"/>
      <c r="G57" s="11">
        <f t="shared" si="3"/>
        <v>5884</v>
      </c>
      <c r="H57" s="11">
        <v>5614</v>
      </c>
      <c r="I57" s="32">
        <f t="shared" si="4"/>
        <v>95.41128484024473</v>
      </c>
      <c r="J57" s="32">
        <f t="shared" si="7"/>
        <v>95.41128484024473</v>
      </c>
      <c r="K57" s="50">
        <f t="shared" si="6"/>
        <v>95.31409168081494</v>
      </c>
    </row>
    <row r="58" spans="1:11" ht="12.75" hidden="1">
      <c r="A58" s="10" t="s">
        <v>86</v>
      </c>
      <c r="B58" s="11"/>
      <c r="C58" s="11">
        <v>2115394</v>
      </c>
      <c r="D58" s="11"/>
      <c r="E58" s="11"/>
      <c r="F58" s="11"/>
      <c r="G58" s="11">
        <f>D58+E58+F58</f>
        <v>0</v>
      </c>
      <c r="H58" s="11"/>
      <c r="I58" s="11" t="e">
        <f t="shared" si="4"/>
        <v>#DIV/0!</v>
      </c>
      <c r="J58" s="32" t="e">
        <f t="shared" si="7"/>
        <v>#DIV/0!</v>
      </c>
      <c r="K58" s="50" t="e">
        <f t="shared" si="6"/>
        <v>#DIV/0!</v>
      </c>
    </row>
    <row r="59" spans="1:11" ht="12.75">
      <c r="A59" s="10" t="s">
        <v>46</v>
      </c>
      <c r="B59" s="11">
        <f>B41/B57/12*1000</f>
        <v>32106.154499151104</v>
      </c>
      <c r="C59" s="11">
        <f>C41/C57/12*1000</f>
        <v>29959.692952639925</v>
      </c>
      <c r="D59" s="11">
        <f>D41/D57/12*1000</f>
        <v>29959.692952639925</v>
      </c>
      <c r="E59" s="11"/>
      <c r="F59" s="11"/>
      <c r="G59" s="11">
        <f>G41/G57/12*1000</f>
        <v>29959.692952639925</v>
      </c>
      <c r="H59" s="11">
        <f>H41/H57/12*1000</f>
        <v>31400.575941099632</v>
      </c>
      <c r="I59" s="32">
        <f t="shared" si="4"/>
        <v>104.80940505878162</v>
      </c>
      <c r="J59" s="32">
        <f t="shared" si="7"/>
        <v>104.80940505878162</v>
      </c>
      <c r="K59" s="50">
        <f t="shared" si="6"/>
        <v>97.80235730794192</v>
      </c>
    </row>
    <row r="60" spans="1:12" ht="13.5" thickBot="1">
      <c r="A60" s="6" t="s">
        <v>47</v>
      </c>
      <c r="B60" s="12">
        <f>B46/B57*1000</f>
        <v>112253.480475382</v>
      </c>
      <c r="C60" s="12">
        <f>C46/C57*1000</f>
        <v>101543.67777022434</v>
      </c>
      <c r="D60" s="12">
        <f>D46/D57*1000</f>
        <v>104835.82596872875</v>
      </c>
      <c r="E60" s="12"/>
      <c r="F60" s="12"/>
      <c r="G60" s="12">
        <f>G46/G57*1000</f>
        <v>109289.76886471789</v>
      </c>
      <c r="H60" s="12">
        <f>H46/H57*1000</f>
        <v>111131.45707160671</v>
      </c>
      <c r="I60" s="63">
        <f t="shared" si="4"/>
        <v>106.00522869420219</v>
      </c>
      <c r="J60" s="63">
        <f t="shared" si="7"/>
        <v>101.68514237519206</v>
      </c>
      <c r="K60" s="61">
        <f t="shared" si="6"/>
        <v>99.00045557694635</v>
      </c>
      <c r="L60" s="22"/>
    </row>
    <row r="61" spans="8:9" ht="12.75">
      <c r="H61" s="84"/>
      <c r="I61" s="84"/>
    </row>
    <row r="62" ht="12.75">
      <c r="A62" s="2" t="s">
        <v>64</v>
      </c>
    </row>
    <row r="63" spans="1:2" ht="12.75">
      <c r="A63" s="97" t="s">
        <v>79</v>
      </c>
      <c r="B63" s="84"/>
    </row>
    <row r="64" ht="12.75">
      <c r="A64" s="97" t="s">
        <v>72</v>
      </c>
    </row>
    <row r="65" ht="12.75">
      <c r="A65" s="97" t="s">
        <v>80</v>
      </c>
    </row>
    <row r="66" ht="12.75">
      <c r="A66" s="2" t="s">
        <v>74</v>
      </c>
    </row>
    <row r="67" ht="12.75">
      <c r="A67" s="2" t="s">
        <v>78</v>
      </c>
    </row>
    <row r="68" spans="1:10" ht="12.75">
      <c r="A68" s="204" t="s">
        <v>73</v>
      </c>
      <c r="B68" s="205"/>
      <c r="C68" s="205"/>
      <c r="D68" s="205"/>
      <c r="E68" s="205"/>
      <c r="F68" s="205"/>
      <c r="G68" s="205"/>
      <c r="H68" s="205"/>
      <c r="I68" s="205"/>
      <c r="J68" s="205"/>
    </row>
  </sheetData>
  <sheetProtection/>
  <mergeCells count="1">
    <mergeCell ref="A68:J68"/>
  </mergeCells>
  <printOptions horizontalCentered="1"/>
  <pageMargins left="0.3937007874015748" right="0" top="0.5905511811023623" bottom="0" header="0.5118110236220472" footer="0.5118110236220472"/>
  <pageSetup fitToHeight="1" fitToWidth="1" horizontalDpi="600" verticalDpi="600" orientation="portrait" paperSize="9" scale="76" r:id="rId1"/>
  <headerFooter alignWithMargins="0">
    <oddHeader>&amp;R&amp;"Arial CE,Tučné"&amp;UPříloha č. 3 c)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68"/>
  <sheetViews>
    <sheetView zoomScale="120" zoomScaleNormal="120" workbookViewId="0" topLeftCell="A1">
      <selection activeCell="A1" sqref="A1"/>
    </sheetView>
  </sheetViews>
  <sheetFormatPr defaultColWidth="9.125" defaultRowHeight="12.75"/>
  <cols>
    <col min="1" max="1" width="33.125" style="2" customWidth="1"/>
    <col min="2" max="2" width="10.125" style="39" customWidth="1"/>
    <col min="3" max="3" width="9.25390625" style="2" customWidth="1"/>
    <col min="4" max="4" width="9.75390625" style="2" customWidth="1"/>
    <col min="5" max="5" width="10.625" style="2" customWidth="1"/>
    <col min="6" max="6" width="11.125" style="2" customWidth="1"/>
    <col min="7" max="7" width="10.125" style="2" customWidth="1"/>
    <col min="8" max="9" width="10.00390625" style="2" customWidth="1"/>
    <col min="10" max="10" width="8.00390625" style="2" customWidth="1"/>
    <col min="11" max="11" width="8.375" style="2" customWidth="1"/>
    <col min="12" max="16384" width="9.125" style="2" customWidth="1"/>
  </cols>
  <sheetData>
    <row r="1" spans="1:2" ht="12.75">
      <c r="A1" s="124" t="s">
        <v>51</v>
      </c>
      <c r="B1" s="38"/>
    </row>
    <row r="2" ht="12.75">
      <c r="A2" s="2" t="s">
        <v>89</v>
      </c>
    </row>
    <row r="3" spans="8:11" ht="13.5" thickBot="1">
      <c r="H3" s="3"/>
      <c r="I3" s="3"/>
      <c r="K3" s="23"/>
    </row>
    <row r="4" spans="1:11" ht="12.75">
      <c r="A4" s="4"/>
      <c r="B4" s="41">
        <v>2010</v>
      </c>
      <c r="C4" s="26"/>
      <c r="D4" s="26">
        <v>2011</v>
      </c>
      <c r="E4" s="26"/>
      <c r="F4" s="26"/>
      <c r="G4" s="26"/>
      <c r="H4" s="26"/>
      <c r="I4" s="26"/>
      <c r="J4" s="27"/>
      <c r="K4" s="18" t="s">
        <v>76</v>
      </c>
    </row>
    <row r="5" spans="1:11" ht="12.75">
      <c r="A5" s="5" t="s">
        <v>0</v>
      </c>
      <c r="B5" s="40" t="s">
        <v>1</v>
      </c>
      <c r="C5" s="28" t="s">
        <v>91</v>
      </c>
      <c r="D5" s="29"/>
      <c r="E5" s="95"/>
      <c r="F5" s="95"/>
      <c r="G5" s="95"/>
      <c r="H5" s="24" t="s">
        <v>1</v>
      </c>
      <c r="I5" s="24" t="s">
        <v>2</v>
      </c>
      <c r="J5" s="24" t="s">
        <v>2</v>
      </c>
      <c r="K5" s="18" t="s">
        <v>3</v>
      </c>
    </row>
    <row r="6" spans="1:11" ht="13.5" thickBot="1">
      <c r="A6" s="6"/>
      <c r="B6" s="30" t="s">
        <v>92</v>
      </c>
      <c r="C6" s="25" t="s">
        <v>4</v>
      </c>
      <c r="D6" s="25" t="s">
        <v>65</v>
      </c>
      <c r="E6" s="96" t="s">
        <v>60</v>
      </c>
      <c r="F6" s="96" t="s">
        <v>61</v>
      </c>
      <c r="G6" s="96" t="s">
        <v>70</v>
      </c>
      <c r="H6" s="30" t="s">
        <v>92</v>
      </c>
      <c r="I6" s="25" t="s">
        <v>95</v>
      </c>
      <c r="J6" s="25" t="s">
        <v>71</v>
      </c>
      <c r="K6" s="59" t="s">
        <v>5</v>
      </c>
    </row>
    <row r="7" spans="1:11" ht="13.5" thickBot="1">
      <c r="A7" s="6" t="s">
        <v>6</v>
      </c>
      <c r="B7" s="30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19" t="s">
        <v>94</v>
      </c>
      <c r="J7" s="30" t="s">
        <v>62</v>
      </c>
      <c r="K7" s="19" t="s">
        <v>63</v>
      </c>
    </row>
    <row r="8" spans="1:11" ht="12.75">
      <c r="A8" s="14" t="s">
        <v>7</v>
      </c>
      <c r="B8" s="62">
        <f>SUM(B10:B28)</f>
        <v>1352535</v>
      </c>
      <c r="C8" s="9">
        <f>SUM(C10:C28)</f>
        <v>622967</v>
      </c>
      <c r="D8" s="45">
        <f>SUM(D10:D28)</f>
        <v>622967</v>
      </c>
      <c r="E8" s="100" t="s">
        <v>69</v>
      </c>
      <c r="F8" s="45">
        <f>SUM(F10:F28)</f>
        <v>304</v>
      </c>
      <c r="G8" s="45">
        <f>D8+F8</f>
        <v>623271</v>
      </c>
      <c r="H8" s="45">
        <f>H10+H12+H13+H14+H15+H16+H17+H18+H19+H20+H21+H22+H23+H24+H25+H26+H27+H28</f>
        <v>1322064</v>
      </c>
      <c r="I8" s="202">
        <f>H8/D8*100</f>
        <v>212.22055100831986</v>
      </c>
      <c r="J8" s="31">
        <f>H8/G8*100</f>
        <v>212.11704058106346</v>
      </c>
      <c r="K8" s="49">
        <f>H8/B8*100</f>
        <v>97.7471192982067</v>
      </c>
    </row>
    <row r="9" spans="1:13" ht="12.75">
      <c r="A9" s="10" t="s">
        <v>8</v>
      </c>
      <c r="B9" s="11"/>
      <c r="C9" s="11"/>
      <c r="D9" s="11"/>
      <c r="E9" s="99"/>
      <c r="F9" s="11"/>
      <c r="G9" s="11"/>
      <c r="H9" s="104"/>
      <c r="I9" s="32"/>
      <c r="J9" s="32"/>
      <c r="K9" s="46"/>
      <c r="M9" s="39"/>
    </row>
    <row r="10" spans="1:11" ht="12.75">
      <c r="A10" s="71" t="s">
        <v>58</v>
      </c>
      <c r="B10" s="11"/>
      <c r="C10" s="11"/>
      <c r="D10" s="11"/>
      <c r="E10" s="99" t="s">
        <v>69</v>
      </c>
      <c r="F10" s="11"/>
      <c r="G10" s="11">
        <f aca="true" t="shared" si="0" ref="G10:G28">D10+F10</f>
        <v>0</v>
      </c>
      <c r="H10" s="11"/>
      <c r="I10" s="32"/>
      <c r="J10" s="32"/>
      <c r="K10" s="46"/>
    </row>
    <row r="11" spans="1:11" ht="12.75">
      <c r="A11" s="71" t="s">
        <v>9</v>
      </c>
      <c r="B11" s="11"/>
      <c r="C11" s="11"/>
      <c r="D11" s="11"/>
      <c r="E11" s="99" t="s">
        <v>69</v>
      </c>
      <c r="F11" s="11"/>
      <c r="G11" s="11">
        <f t="shared" si="0"/>
        <v>0</v>
      </c>
      <c r="H11" s="11"/>
      <c r="I11" s="32"/>
      <c r="J11" s="32"/>
      <c r="K11" s="50"/>
    </row>
    <row r="12" spans="1:13" ht="12.75">
      <c r="A12" s="71" t="s">
        <v>10</v>
      </c>
      <c r="B12" s="11"/>
      <c r="C12" s="11"/>
      <c r="D12" s="11"/>
      <c r="E12" s="99" t="s">
        <v>69</v>
      </c>
      <c r="F12" s="11"/>
      <c r="G12" s="11">
        <f t="shared" si="0"/>
        <v>0</v>
      </c>
      <c r="H12" s="11"/>
      <c r="I12" s="32"/>
      <c r="J12" s="32"/>
      <c r="K12" s="50"/>
      <c r="M12" s="39"/>
    </row>
    <row r="13" spans="1:13" ht="12.75">
      <c r="A13" s="10" t="s">
        <v>11</v>
      </c>
      <c r="B13" s="11">
        <v>5275</v>
      </c>
      <c r="C13" s="11"/>
      <c r="D13" s="11">
        <v>996</v>
      </c>
      <c r="E13" s="99" t="s">
        <v>69</v>
      </c>
      <c r="F13" s="11"/>
      <c r="G13" s="11">
        <f t="shared" si="0"/>
        <v>996</v>
      </c>
      <c r="H13" s="11">
        <v>7695</v>
      </c>
      <c r="I13" s="32">
        <f>H13/D13*100</f>
        <v>772.5903614457831</v>
      </c>
      <c r="J13" s="32">
        <f aca="true" t="shared" si="1" ref="J13:J28">H13/G13*100</f>
        <v>772.5903614457831</v>
      </c>
      <c r="K13" s="50">
        <f aca="true" t="shared" si="2" ref="K13:K28">H13/B13*100</f>
        <v>145.87677725118485</v>
      </c>
      <c r="M13" s="2" t="s">
        <v>52</v>
      </c>
    </row>
    <row r="14" spans="1:11" ht="12.75">
      <c r="A14" s="56" t="s">
        <v>54</v>
      </c>
      <c r="B14" s="11"/>
      <c r="C14" s="11"/>
      <c r="D14" s="11"/>
      <c r="E14" s="99" t="s">
        <v>69</v>
      </c>
      <c r="F14" s="11"/>
      <c r="G14" s="11">
        <f t="shared" si="0"/>
        <v>0</v>
      </c>
      <c r="H14" s="11"/>
      <c r="I14" s="32"/>
      <c r="J14" s="32"/>
      <c r="K14" s="50"/>
    </row>
    <row r="15" spans="1:11" ht="12.75">
      <c r="A15" s="10" t="s">
        <v>12</v>
      </c>
      <c r="B15" s="11">
        <v>206096</v>
      </c>
      <c r="C15" s="11">
        <v>109200</v>
      </c>
      <c r="D15" s="11">
        <v>78952</v>
      </c>
      <c r="E15" s="99" t="s">
        <v>69</v>
      </c>
      <c r="F15" s="11"/>
      <c r="G15" s="11">
        <f t="shared" si="0"/>
        <v>78952</v>
      </c>
      <c r="H15" s="11">
        <v>181818</v>
      </c>
      <c r="I15" s="32">
        <f>H15/D15*100</f>
        <v>230.28928969500458</v>
      </c>
      <c r="J15" s="32">
        <f t="shared" si="1"/>
        <v>230.28928969500458</v>
      </c>
      <c r="K15" s="50">
        <f t="shared" si="2"/>
        <v>88.22005279093239</v>
      </c>
    </row>
    <row r="16" spans="1:11" ht="12.75">
      <c r="A16" s="10" t="s">
        <v>13</v>
      </c>
      <c r="B16" s="11">
        <v>258</v>
      </c>
      <c r="C16" s="11"/>
      <c r="D16" s="11">
        <v>15</v>
      </c>
      <c r="E16" s="99" t="s">
        <v>69</v>
      </c>
      <c r="F16" s="11"/>
      <c r="G16" s="11">
        <f t="shared" si="0"/>
        <v>15</v>
      </c>
      <c r="H16" s="11">
        <v>-1101</v>
      </c>
      <c r="I16" s="32">
        <f>H16/D16*100</f>
        <v>-7340.000000000001</v>
      </c>
      <c r="J16" s="32">
        <f t="shared" si="1"/>
        <v>-7340.000000000001</v>
      </c>
      <c r="K16" s="50">
        <f t="shared" si="2"/>
        <v>-426.7441860465116</v>
      </c>
    </row>
    <row r="17" spans="1:11" ht="12.75">
      <c r="A17" s="10" t="s">
        <v>14</v>
      </c>
      <c r="B17" s="11">
        <v>3766</v>
      </c>
      <c r="C17" s="11"/>
      <c r="D17" s="11">
        <v>1710</v>
      </c>
      <c r="E17" s="99" t="s">
        <v>69</v>
      </c>
      <c r="F17" s="11"/>
      <c r="G17" s="11">
        <f t="shared" si="0"/>
        <v>1710</v>
      </c>
      <c r="H17" s="58">
        <f>9425-88</f>
        <v>9337</v>
      </c>
      <c r="I17" s="126">
        <f>H17/D17*100</f>
        <v>546.0233918128655</v>
      </c>
      <c r="J17" s="32">
        <f t="shared" si="1"/>
        <v>546.0233918128655</v>
      </c>
      <c r="K17" s="50">
        <f t="shared" si="2"/>
        <v>247.92883696229418</v>
      </c>
    </row>
    <row r="18" spans="1:11" ht="12.75">
      <c r="A18" s="10" t="s">
        <v>15</v>
      </c>
      <c r="B18" s="11">
        <v>2999</v>
      </c>
      <c r="C18" s="11">
        <v>1600</v>
      </c>
      <c r="D18" s="58">
        <v>375</v>
      </c>
      <c r="E18" s="99" t="s">
        <v>69</v>
      </c>
      <c r="F18" s="11"/>
      <c r="G18" s="11">
        <f t="shared" si="0"/>
        <v>375</v>
      </c>
      <c r="H18" s="58">
        <v>2822</v>
      </c>
      <c r="I18" s="32">
        <f>H18/D18*100</f>
        <v>752.5333333333333</v>
      </c>
      <c r="J18" s="32">
        <f t="shared" si="1"/>
        <v>752.5333333333333</v>
      </c>
      <c r="K18" s="50">
        <f t="shared" si="2"/>
        <v>94.09803267755919</v>
      </c>
    </row>
    <row r="19" spans="1:11" ht="12.75">
      <c r="A19" s="10" t="s">
        <v>16</v>
      </c>
      <c r="B19" s="11">
        <v>136754</v>
      </c>
      <c r="C19" s="11">
        <v>77200</v>
      </c>
      <c r="D19" s="11">
        <v>26488</v>
      </c>
      <c r="E19" s="99" t="s">
        <v>69</v>
      </c>
      <c r="F19" s="11"/>
      <c r="G19" s="11">
        <f t="shared" si="0"/>
        <v>26488</v>
      </c>
      <c r="H19" s="58">
        <f>198677+88</f>
        <v>198765</v>
      </c>
      <c r="I19" s="32">
        <f>H19/D19*100</f>
        <v>750.3964059196617</v>
      </c>
      <c r="J19" s="32">
        <f t="shared" si="1"/>
        <v>750.3964059196617</v>
      </c>
      <c r="K19" s="50">
        <f t="shared" si="2"/>
        <v>145.34492592538427</v>
      </c>
    </row>
    <row r="20" spans="1:11" ht="12.75">
      <c r="A20" s="10" t="s">
        <v>59</v>
      </c>
      <c r="B20" s="11"/>
      <c r="C20" s="11"/>
      <c r="D20" s="11"/>
      <c r="E20" s="99" t="s">
        <v>69</v>
      </c>
      <c r="F20" s="11"/>
      <c r="G20" s="11">
        <f t="shared" si="0"/>
        <v>0</v>
      </c>
      <c r="H20" s="58"/>
      <c r="I20" s="32"/>
      <c r="J20" s="32"/>
      <c r="K20" s="50"/>
    </row>
    <row r="21" spans="1:11" ht="12.75">
      <c r="A21" s="57" t="s">
        <v>55</v>
      </c>
      <c r="B21" s="11"/>
      <c r="C21" s="11"/>
      <c r="D21" s="11"/>
      <c r="E21" s="99" t="s">
        <v>69</v>
      </c>
      <c r="F21" s="11"/>
      <c r="G21" s="11">
        <f t="shared" si="0"/>
        <v>0</v>
      </c>
      <c r="H21" s="58"/>
      <c r="I21" s="126"/>
      <c r="J21" s="32"/>
      <c r="K21" s="50"/>
    </row>
    <row r="22" spans="1:11" ht="12.75">
      <c r="A22" s="10" t="s">
        <v>17</v>
      </c>
      <c r="B22" s="11">
        <v>964625</v>
      </c>
      <c r="C22" s="11">
        <v>300200</v>
      </c>
      <c r="D22" s="11">
        <v>389564</v>
      </c>
      <c r="E22" s="99" t="s">
        <v>69</v>
      </c>
      <c r="F22" s="11"/>
      <c r="G22" s="11">
        <f t="shared" si="0"/>
        <v>389564</v>
      </c>
      <c r="H22" s="11">
        <v>865334</v>
      </c>
      <c r="I22" s="32">
        <f>H22/D22*100</f>
        <v>222.1288414740582</v>
      </c>
      <c r="J22" s="32">
        <f t="shared" si="1"/>
        <v>222.1288414740582</v>
      </c>
      <c r="K22" s="50">
        <f t="shared" si="2"/>
        <v>89.70677724504341</v>
      </c>
    </row>
    <row r="23" spans="1:11" ht="12.75">
      <c r="A23" s="57" t="s">
        <v>56</v>
      </c>
      <c r="B23" s="11">
        <v>29085</v>
      </c>
      <c r="C23" s="11">
        <v>1000</v>
      </c>
      <c r="D23" s="11">
        <v>1900</v>
      </c>
      <c r="E23" s="99" t="s">
        <v>69</v>
      </c>
      <c r="F23" s="11"/>
      <c r="G23" s="11">
        <f t="shared" si="0"/>
        <v>1900</v>
      </c>
      <c r="H23" s="11">
        <v>53501</v>
      </c>
      <c r="I23" s="32">
        <f>H23/D23*100</f>
        <v>2815.842105263158</v>
      </c>
      <c r="J23" s="32">
        <f t="shared" si="1"/>
        <v>2815.842105263158</v>
      </c>
      <c r="K23" s="50">
        <f t="shared" si="2"/>
        <v>183.94705174488567</v>
      </c>
    </row>
    <row r="24" spans="1:11" ht="12.75" customHeight="1">
      <c r="A24" s="10" t="s">
        <v>18</v>
      </c>
      <c r="B24" s="11"/>
      <c r="C24" s="11">
        <v>10800</v>
      </c>
      <c r="D24" s="11">
        <v>0</v>
      </c>
      <c r="E24" s="99" t="s">
        <v>69</v>
      </c>
      <c r="F24" s="11"/>
      <c r="G24" s="11">
        <f t="shared" si="0"/>
        <v>0</v>
      </c>
      <c r="H24" s="11">
        <v>5</v>
      </c>
      <c r="I24" s="32"/>
      <c r="J24" s="32"/>
      <c r="K24" s="50"/>
    </row>
    <row r="25" spans="1:11" ht="12.75" customHeight="1">
      <c r="A25" s="10" t="s">
        <v>87</v>
      </c>
      <c r="B25" s="11"/>
      <c r="C25" s="72"/>
      <c r="D25" s="11"/>
      <c r="E25" s="99" t="s">
        <v>69</v>
      </c>
      <c r="F25" s="11"/>
      <c r="G25" s="11">
        <f t="shared" si="0"/>
        <v>0</v>
      </c>
      <c r="H25" s="11"/>
      <c r="I25" s="32"/>
      <c r="J25" s="32"/>
      <c r="K25" s="50"/>
    </row>
    <row r="26" spans="1:11" ht="12.75" customHeight="1">
      <c r="A26" s="10" t="s">
        <v>57</v>
      </c>
      <c r="B26" s="11"/>
      <c r="C26" s="72"/>
      <c r="D26" s="11"/>
      <c r="E26" s="99" t="s">
        <v>69</v>
      </c>
      <c r="F26" s="11"/>
      <c r="G26" s="11">
        <f t="shared" si="0"/>
        <v>0</v>
      </c>
      <c r="H26" s="11"/>
      <c r="I26" s="32"/>
      <c r="J26" s="32"/>
      <c r="K26" s="50"/>
    </row>
    <row r="27" spans="1:11" ht="12.75" customHeight="1">
      <c r="A27" s="71" t="s">
        <v>88</v>
      </c>
      <c r="B27" s="72"/>
      <c r="C27" s="72">
        <v>122967</v>
      </c>
      <c r="D27" s="11">
        <v>122967</v>
      </c>
      <c r="E27" s="99" t="s">
        <v>69</v>
      </c>
      <c r="F27" s="72"/>
      <c r="G27" s="72">
        <f t="shared" si="0"/>
        <v>122967</v>
      </c>
      <c r="H27" s="72">
        <v>0</v>
      </c>
      <c r="I27" s="73"/>
      <c r="J27" s="73"/>
      <c r="K27" s="74"/>
    </row>
    <row r="28" spans="1:11" ht="13.5" thickBot="1">
      <c r="A28" s="6" t="s">
        <v>19</v>
      </c>
      <c r="B28" s="12">
        <v>3677</v>
      </c>
      <c r="C28" s="12"/>
      <c r="D28" s="12">
        <v>0</v>
      </c>
      <c r="E28" s="30" t="s">
        <v>69</v>
      </c>
      <c r="F28" s="12">
        <v>304</v>
      </c>
      <c r="G28" s="12">
        <f t="shared" si="0"/>
        <v>304</v>
      </c>
      <c r="H28" s="12">
        <f>3888</f>
        <v>3888</v>
      </c>
      <c r="I28" s="63"/>
      <c r="J28" s="63">
        <f t="shared" si="1"/>
        <v>1278.9473684210525</v>
      </c>
      <c r="K28" s="61">
        <f t="shared" si="2"/>
        <v>105.73837367419092</v>
      </c>
    </row>
    <row r="29" spans="1:11" ht="12.75">
      <c r="A29" s="5"/>
      <c r="B29" s="13"/>
      <c r="C29" s="13"/>
      <c r="D29" s="13"/>
      <c r="E29" s="13"/>
      <c r="F29" s="13"/>
      <c r="G29" s="13"/>
      <c r="H29" s="13"/>
      <c r="I29" s="33"/>
      <c r="J29" s="33"/>
      <c r="K29" s="68"/>
    </row>
    <row r="30" spans="1:11" ht="12.75">
      <c r="A30" s="64" t="s">
        <v>20</v>
      </c>
      <c r="B30" s="62">
        <f>B32+B38</f>
        <v>1627668</v>
      </c>
      <c r="C30" s="9">
        <f>C32+C38</f>
        <v>1598514</v>
      </c>
      <c r="D30" s="9">
        <f>D32+D38</f>
        <v>1609449</v>
      </c>
      <c r="E30" s="9">
        <f>E32+E38</f>
        <v>103331</v>
      </c>
      <c r="F30" s="9">
        <f>F32+F38</f>
        <v>304</v>
      </c>
      <c r="G30" s="9">
        <f aca="true" t="shared" si="3" ref="G30:G57">D30+E30+F30</f>
        <v>1713084</v>
      </c>
      <c r="H30" s="9">
        <f>H32+H38</f>
        <v>1526361</v>
      </c>
      <c r="I30" s="31">
        <f>H30/D30*100</f>
        <v>94.83748786075235</v>
      </c>
      <c r="J30" s="31">
        <f>H30/G30*100</f>
        <v>89.10018422914463</v>
      </c>
      <c r="K30" s="66">
        <f>H30/B30*100</f>
        <v>93.77594202257463</v>
      </c>
    </row>
    <row r="31" spans="1:11" ht="12.75">
      <c r="A31" s="10" t="s">
        <v>21</v>
      </c>
      <c r="B31" s="11"/>
      <c r="C31" s="11"/>
      <c r="D31" s="11"/>
      <c r="E31" s="11"/>
      <c r="F31" s="11"/>
      <c r="G31" s="11"/>
      <c r="H31" s="11"/>
      <c r="I31" s="32"/>
      <c r="J31" s="32"/>
      <c r="K31" s="46"/>
    </row>
    <row r="32" spans="1:11" ht="12.75">
      <c r="A32" s="64" t="s">
        <v>22</v>
      </c>
      <c r="B32" s="62">
        <f>B34+B35+B36</f>
        <v>125132</v>
      </c>
      <c r="C32" s="9">
        <f>C34+C35+C36</f>
        <v>183817</v>
      </c>
      <c r="D32" s="9">
        <f>D34+D35+D36</f>
        <v>153409</v>
      </c>
      <c r="E32" s="9">
        <f>E34+E35+E36</f>
        <v>82804</v>
      </c>
      <c r="F32" s="9">
        <f>F34+F35+F36</f>
        <v>0</v>
      </c>
      <c r="G32" s="9">
        <f t="shared" si="3"/>
        <v>236213</v>
      </c>
      <c r="H32" s="9">
        <f>H34+H35+H36</f>
        <v>136538</v>
      </c>
      <c r="I32" s="31">
        <f>H32/D32*100</f>
        <v>89.00260089043016</v>
      </c>
      <c r="J32" s="31">
        <f>H32/G32*100</f>
        <v>57.80291516554974</v>
      </c>
      <c r="K32" s="49">
        <f>H32/B32*100</f>
        <v>109.1151743758591</v>
      </c>
    </row>
    <row r="33" spans="1:11" ht="12.75">
      <c r="A33" s="10" t="s">
        <v>23</v>
      </c>
      <c r="B33" s="11"/>
      <c r="C33" s="11"/>
      <c r="D33" s="11"/>
      <c r="E33" s="11"/>
      <c r="F33" s="11"/>
      <c r="G33" s="11"/>
      <c r="H33" s="11"/>
      <c r="I33" s="32"/>
      <c r="J33" s="32"/>
      <c r="K33" s="50"/>
    </row>
    <row r="34" spans="1:11" ht="12.75">
      <c r="A34" s="10" t="s">
        <v>24</v>
      </c>
      <c r="B34" s="11">
        <v>87723</v>
      </c>
      <c r="C34" s="11">
        <v>169367</v>
      </c>
      <c r="D34" s="11">
        <v>114797</v>
      </c>
      <c r="E34" s="11">
        <v>80361</v>
      </c>
      <c r="F34" s="11"/>
      <c r="G34" s="11">
        <f t="shared" si="3"/>
        <v>195158</v>
      </c>
      <c r="H34" s="11">
        <v>99499</v>
      </c>
      <c r="I34" s="32">
        <f aca="true" t="shared" si="4" ref="I34:I60">H34/D34*100</f>
        <v>86.67386778400132</v>
      </c>
      <c r="J34" s="32">
        <f>H34/G34*100</f>
        <v>50.98381823958024</v>
      </c>
      <c r="K34" s="50">
        <f>H34/B34*100</f>
        <v>113.42407350409813</v>
      </c>
    </row>
    <row r="35" spans="1:11" ht="12.75">
      <c r="A35" s="10" t="s">
        <v>25</v>
      </c>
      <c r="B35" s="11">
        <v>36288</v>
      </c>
      <c r="C35" s="11">
        <v>14450</v>
      </c>
      <c r="D35" s="11">
        <v>38612</v>
      </c>
      <c r="E35" s="11">
        <v>2443</v>
      </c>
      <c r="F35" s="11"/>
      <c r="G35" s="11">
        <f t="shared" si="3"/>
        <v>41055</v>
      </c>
      <c r="H35" s="11">
        <v>37039</v>
      </c>
      <c r="I35" s="32">
        <f t="shared" si="4"/>
        <v>95.92613695224283</v>
      </c>
      <c r="J35" s="32">
        <f>H35/G35*100</f>
        <v>90.21800024357569</v>
      </c>
      <c r="K35" s="50">
        <f>H35/B35*100</f>
        <v>102.06955467372134</v>
      </c>
    </row>
    <row r="36" spans="1:11" ht="12.75">
      <c r="A36" s="14" t="s">
        <v>26</v>
      </c>
      <c r="B36" s="15">
        <v>1121</v>
      </c>
      <c r="C36" s="15">
        <v>0</v>
      </c>
      <c r="D36" s="15"/>
      <c r="E36" s="15"/>
      <c r="F36" s="15"/>
      <c r="G36" s="15">
        <f t="shared" si="3"/>
        <v>0</v>
      </c>
      <c r="H36" s="15"/>
      <c r="I36" s="34"/>
      <c r="J36" s="34"/>
      <c r="K36" s="49">
        <f>H36/B36*100</f>
        <v>0</v>
      </c>
    </row>
    <row r="37" spans="1:11" ht="12.75">
      <c r="A37" s="5"/>
      <c r="B37" s="13"/>
      <c r="C37" s="13"/>
      <c r="D37" s="13"/>
      <c r="E37" s="13"/>
      <c r="F37" s="13"/>
      <c r="G37" s="13">
        <f t="shared" si="3"/>
        <v>0</v>
      </c>
      <c r="H37" s="13"/>
      <c r="I37" s="33"/>
      <c r="J37" s="33"/>
      <c r="K37" s="51"/>
    </row>
    <row r="38" spans="1:11" ht="12.75">
      <c r="A38" s="64" t="s">
        <v>27</v>
      </c>
      <c r="B38" s="62">
        <f>B40+B43+B44+B45+B46</f>
        <v>1502536</v>
      </c>
      <c r="C38" s="9">
        <f>C40+C46+C43+C44+C45</f>
        <v>1414697</v>
      </c>
      <c r="D38" s="9">
        <f>D40+D46+D43+D44+D45</f>
        <v>1456040</v>
      </c>
      <c r="E38" s="9">
        <f>E40+E46+E43+E44+E45</f>
        <v>20527</v>
      </c>
      <c r="F38" s="9">
        <f>F40+F46+F43+F44+F45</f>
        <v>304</v>
      </c>
      <c r="G38" s="9">
        <f t="shared" si="3"/>
        <v>1476871</v>
      </c>
      <c r="H38" s="9">
        <f>H40+H43+H44+H45+H46</f>
        <v>1389823</v>
      </c>
      <c r="I38" s="31">
        <f t="shared" si="4"/>
        <v>95.45225405895442</v>
      </c>
      <c r="J38" s="31">
        <f>H38/G38*100</f>
        <v>94.10591717218362</v>
      </c>
      <c r="K38" s="49">
        <f>H38/B38*100</f>
        <v>92.49848256547597</v>
      </c>
    </row>
    <row r="39" spans="1:11" ht="12.75">
      <c r="A39" s="10" t="s">
        <v>23</v>
      </c>
      <c r="B39" s="11"/>
      <c r="C39" s="11"/>
      <c r="D39" s="11"/>
      <c r="E39" s="11"/>
      <c r="F39" s="11"/>
      <c r="G39" s="11"/>
      <c r="H39" s="104"/>
      <c r="I39" s="32"/>
      <c r="J39" s="32"/>
      <c r="K39" s="50"/>
    </row>
    <row r="40" spans="1:11" ht="12.75">
      <c r="A40" s="16" t="s">
        <v>28</v>
      </c>
      <c r="B40" s="21">
        <f>B41+B42</f>
        <v>656491</v>
      </c>
      <c r="C40" s="17">
        <f>C41+C42</f>
        <v>619747</v>
      </c>
      <c r="D40" s="17">
        <f>D41+D42</f>
        <v>619747</v>
      </c>
      <c r="E40" s="17">
        <f>E41+E42</f>
        <v>0</v>
      </c>
      <c r="F40" s="17">
        <f>F41+F42</f>
        <v>0</v>
      </c>
      <c r="G40" s="17">
        <f t="shared" si="3"/>
        <v>619747</v>
      </c>
      <c r="H40" s="17">
        <f>H41+H42</f>
        <v>599731</v>
      </c>
      <c r="I40" s="35">
        <f t="shared" si="4"/>
        <v>96.77029497520763</v>
      </c>
      <c r="J40" s="35">
        <f>H40/G40*100</f>
        <v>96.77029497520763</v>
      </c>
      <c r="K40" s="50">
        <f aca="true" t="shared" si="5" ref="K40:K60">H40/B40*100</f>
        <v>91.35403227157722</v>
      </c>
    </row>
    <row r="41" spans="1:11" ht="12.75">
      <c r="A41" s="10" t="s">
        <v>29</v>
      </c>
      <c r="B41" s="11">
        <v>642466</v>
      </c>
      <c r="C41" s="11">
        <v>602562</v>
      </c>
      <c r="D41" s="11">
        <v>602562</v>
      </c>
      <c r="E41" s="11"/>
      <c r="F41" s="11"/>
      <c r="G41" s="11">
        <f t="shared" si="3"/>
        <v>602562</v>
      </c>
      <c r="H41" s="11">
        <v>592787</v>
      </c>
      <c r="I41" s="32">
        <f t="shared" si="4"/>
        <v>98.37776029686572</v>
      </c>
      <c r="J41" s="32">
        <f>H41/G41*100</f>
        <v>98.37776029686572</v>
      </c>
      <c r="K41" s="50">
        <f t="shared" si="5"/>
        <v>92.26745072891018</v>
      </c>
    </row>
    <row r="42" spans="1:11" ht="12.75">
      <c r="A42" s="44" t="s">
        <v>30</v>
      </c>
      <c r="B42" s="11">
        <v>14025</v>
      </c>
      <c r="C42" s="11">
        <v>17185</v>
      </c>
      <c r="D42" s="11">
        <v>17185</v>
      </c>
      <c r="E42" s="11"/>
      <c r="F42" s="11"/>
      <c r="G42" s="11">
        <f t="shared" si="3"/>
        <v>17185</v>
      </c>
      <c r="H42" s="11">
        <v>6944</v>
      </c>
      <c r="I42" s="32">
        <f t="shared" si="4"/>
        <v>40.407331975560076</v>
      </c>
      <c r="J42" s="32">
        <f>H42/G42*100</f>
        <v>40.407331975560076</v>
      </c>
      <c r="K42" s="50">
        <f t="shared" si="5"/>
        <v>49.51158645276293</v>
      </c>
    </row>
    <row r="43" spans="1:14" ht="12.75">
      <c r="A43" s="20" t="s">
        <v>31</v>
      </c>
      <c r="B43" s="21">
        <v>219258</v>
      </c>
      <c r="C43" s="21">
        <v>210714</v>
      </c>
      <c r="D43" s="21">
        <v>210714</v>
      </c>
      <c r="E43" s="21"/>
      <c r="F43" s="21"/>
      <c r="G43" s="21">
        <f t="shared" si="3"/>
        <v>210714</v>
      </c>
      <c r="H43" s="21">
        <v>203045</v>
      </c>
      <c r="I43" s="36">
        <f t="shared" si="4"/>
        <v>96.36046964131478</v>
      </c>
      <c r="J43" s="36">
        <f>H43/G43*100</f>
        <v>96.36046964131478</v>
      </c>
      <c r="K43" s="50">
        <f t="shared" si="5"/>
        <v>92.60551496410622</v>
      </c>
      <c r="N43" s="2" t="s">
        <v>52</v>
      </c>
    </row>
    <row r="44" spans="1:11" ht="12.75">
      <c r="A44" s="20" t="s">
        <v>32</v>
      </c>
      <c r="B44" s="21">
        <v>12976</v>
      </c>
      <c r="C44" s="21">
        <v>6026</v>
      </c>
      <c r="D44" s="21">
        <v>6026</v>
      </c>
      <c r="E44" s="21"/>
      <c r="F44" s="21"/>
      <c r="G44" s="21">
        <f t="shared" si="3"/>
        <v>6026</v>
      </c>
      <c r="H44" s="21">
        <v>6026</v>
      </c>
      <c r="I44" s="36">
        <f t="shared" si="4"/>
        <v>100</v>
      </c>
      <c r="J44" s="36">
        <f>H44/G44*100</f>
        <v>100</v>
      </c>
      <c r="K44" s="50">
        <f t="shared" si="5"/>
        <v>46.439580764488284</v>
      </c>
    </row>
    <row r="45" spans="1:11" ht="12.75">
      <c r="A45" s="20" t="s">
        <v>49</v>
      </c>
      <c r="B45" s="21">
        <v>0</v>
      </c>
      <c r="C45" s="17">
        <v>0</v>
      </c>
      <c r="D45" s="21">
        <v>0</v>
      </c>
      <c r="E45" s="21"/>
      <c r="F45" s="21"/>
      <c r="G45" s="21">
        <f t="shared" si="3"/>
        <v>0</v>
      </c>
      <c r="H45" s="21">
        <v>0</v>
      </c>
      <c r="I45" s="36"/>
      <c r="J45" s="36"/>
      <c r="K45" s="50"/>
    </row>
    <row r="46" spans="1:11" ht="12.75">
      <c r="A46" s="20" t="s">
        <v>34</v>
      </c>
      <c r="B46" s="21">
        <f>B48+B49+B50+B52+B56</f>
        <v>613811</v>
      </c>
      <c r="C46" s="17">
        <f>C48+C49+C50+C52+C56</f>
        <v>578210</v>
      </c>
      <c r="D46" s="17">
        <f>D48+D49+D50+D52+D56</f>
        <v>619553</v>
      </c>
      <c r="E46" s="17">
        <f>E48+E49+E50+E52+E56</f>
        <v>20527</v>
      </c>
      <c r="F46" s="17">
        <f>F48+F49+F50+F52+F56</f>
        <v>304</v>
      </c>
      <c r="G46" s="17">
        <f t="shared" si="3"/>
        <v>640384</v>
      </c>
      <c r="H46" s="17">
        <f>H48+H49+H50+H52+H56</f>
        <v>581021</v>
      </c>
      <c r="I46" s="35">
        <f t="shared" si="4"/>
        <v>93.78067735932196</v>
      </c>
      <c r="J46" s="35">
        <f>H46/G46*100</f>
        <v>90.73009319408355</v>
      </c>
      <c r="K46" s="50">
        <f t="shared" si="5"/>
        <v>94.65796474810651</v>
      </c>
    </row>
    <row r="47" spans="1:11" ht="12.75">
      <c r="A47" s="10" t="s">
        <v>35</v>
      </c>
      <c r="B47" s="11"/>
      <c r="C47" s="11"/>
      <c r="D47" s="11"/>
      <c r="E47" s="11"/>
      <c r="F47" s="11"/>
      <c r="G47" s="11"/>
      <c r="H47" s="11"/>
      <c r="I47" s="32"/>
      <c r="J47" s="32"/>
      <c r="K47" s="50"/>
    </row>
    <row r="48" spans="1:11" ht="12.75">
      <c r="A48" s="10" t="s">
        <v>36</v>
      </c>
      <c r="B48" s="69">
        <v>28303</v>
      </c>
      <c r="C48" s="69">
        <v>21149</v>
      </c>
      <c r="D48" s="69">
        <v>24289</v>
      </c>
      <c r="E48" s="69">
        <v>346</v>
      </c>
      <c r="F48" s="69"/>
      <c r="G48" s="69">
        <f t="shared" si="3"/>
        <v>24635</v>
      </c>
      <c r="H48" s="69">
        <v>23362</v>
      </c>
      <c r="I48" s="60">
        <f t="shared" si="4"/>
        <v>96.18345753221624</v>
      </c>
      <c r="J48" s="32">
        <f aca="true" t="shared" si="6" ref="J48:J60">H48/G48*100</f>
        <v>94.83255530748934</v>
      </c>
      <c r="K48" s="50">
        <f t="shared" si="5"/>
        <v>82.54248666219128</v>
      </c>
    </row>
    <row r="49" spans="1:11" ht="12.75">
      <c r="A49" s="10" t="s">
        <v>37</v>
      </c>
      <c r="B49" s="11">
        <v>55907</v>
      </c>
      <c r="C49" s="11">
        <v>62270</v>
      </c>
      <c r="D49" s="11">
        <v>49251</v>
      </c>
      <c r="E49" s="11">
        <v>2068</v>
      </c>
      <c r="F49" s="11"/>
      <c r="G49" s="11">
        <f t="shared" si="3"/>
        <v>51319</v>
      </c>
      <c r="H49" s="11">
        <v>50147</v>
      </c>
      <c r="I49" s="32">
        <f t="shared" si="4"/>
        <v>101.81925240096648</v>
      </c>
      <c r="J49" s="32">
        <f t="shared" si="6"/>
        <v>97.71624544515677</v>
      </c>
      <c r="K49" s="50">
        <f t="shared" si="5"/>
        <v>89.69717566673225</v>
      </c>
    </row>
    <row r="50" spans="1:11" ht="12.75">
      <c r="A50" s="10" t="s">
        <v>38</v>
      </c>
      <c r="B50" s="11">
        <v>458387</v>
      </c>
      <c r="C50" s="11">
        <v>436331</v>
      </c>
      <c r="D50" s="11">
        <v>456267</v>
      </c>
      <c r="E50" s="11">
        <v>13024</v>
      </c>
      <c r="F50" s="11"/>
      <c r="G50" s="11">
        <f t="shared" si="3"/>
        <v>469291</v>
      </c>
      <c r="H50" s="11">
        <v>414861</v>
      </c>
      <c r="I50" s="32">
        <f t="shared" si="4"/>
        <v>90.92505046387312</v>
      </c>
      <c r="J50" s="32">
        <f t="shared" si="6"/>
        <v>88.40165270589037</v>
      </c>
      <c r="K50" s="50">
        <f t="shared" si="5"/>
        <v>90.50453001503097</v>
      </c>
    </row>
    <row r="51" spans="1:11" ht="12.75">
      <c r="A51" s="10" t="s">
        <v>39</v>
      </c>
      <c r="B51" s="11">
        <v>8525</v>
      </c>
      <c r="C51" s="11">
        <v>3125</v>
      </c>
      <c r="D51" s="58">
        <f>5796+5</f>
        <v>5801</v>
      </c>
      <c r="E51" s="58">
        <v>425</v>
      </c>
      <c r="F51" s="58"/>
      <c r="G51" s="11">
        <f t="shared" si="3"/>
        <v>6226</v>
      </c>
      <c r="H51" s="58">
        <f>6030+3</f>
        <v>6033</v>
      </c>
      <c r="I51" s="32">
        <f t="shared" si="4"/>
        <v>103.99931046371316</v>
      </c>
      <c r="J51" s="32">
        <f t="shared" si="6"/>
        <v>96.90009637006104</v>
      </c>
      <c r="K51" s="50">
        <f t="shared" si="5"/>
        <v>70.7683284457478</v>
      </c>
    </row>
    <row r="52" spans="1:11" ht="12.75">
      <c r="A52" s="10" t="s">
        <v>40</v>
      </c>
      <c r="B52" s="11">
        <v>24688</v>
      </c>
      <c r="C52" s="11">
        <v>33900</v>
      </c>
      <c r="D52" s="11">
        <v>34004</v>
      </c>
      <c r="E52" s="11">
        <v>905</v>
      </c>
      <c r="F52" s="11">
        <v>304</v>
      </c>
      <c r="G52" s="11">
        <f t="shared" si="3"/>
        <v>35213</v>
      </c>
      <c r="H52" s="11">
        <v>33955</v>
      </c>
      <c r="I52" s="32">
        <f t="shared" si="4"/>
        <v>99.855899305964</v>
      </c>
      <c r="J52" s="32">
        <f t="shared" si="6"/>
        <v>96.42745576917615</v>
      </c>
      <c r="K52" s="50">
        <f t="shared" si="5"/>
        <v>137.53645495787427</v>
      </c>
    </row>
    <row r="53" spans="1:11" ht="12.75">
      <c r="A53" s="10" t="s">
        <v>41</v>
      </c>
      <c r="B53" s="11">
        <v>21538</v>
      </c>
      <c r="C53" s="11">
        <v>31863</v>
      </c>
      <c r="D53" s="11">
        <v>31049</v>
      </c>
      <c r="E53" s="11">
        <v>905</v>
      </c>
      <c r="F53" s="11">
        <v>304</v>
      </c>
      <c r="G53" s="11">
        <f t="shared" si="3"/>
        <v>32258</v>
      </c>
      <c r="H53" s="11">
        <v>31493</v>
      </c>
      <c r="I53" s="32">
        <f t="shared" si="4"/>
        <v>101.42999774549905</v>
      </c>
      <c r="J53" s="32">
        <f t="shared" si="6"/>
        <v>97.6284952569905</v>
      </c>
      <c r="K53" s="50">
        <f t="shared" si="5"/>
        <v>146.220633299285</v>
      </c>
    </row>
    <row r="54" spans="1:11" ht="12.75">
      <c r="A54" s="10" t="s">
        <v>42</v>
      </c>
      <c r="B54" s="11">
        <v>0</v>
      </c>
      <c r="C54" s="11">
        <v>800</v>
      </c>
      <c r="D54" s="11">
        <v>3</v>
      </c>
      <c r="E54" s="11">
        <v>0</v>
      </c>
      <c r="F54" s="11"/>
      <c r="G54" s="11">
        <f t="shared" si="3"/>
        <v>3</v>
      </c>
      <c r="H54" s="11">
        <v>0</v>
      </c>
      <c r="I54" s="32">
        <f t="shared" si="4"/>
        <v>0</v>
      </c>
      <c r="J54" s="32">
        <f t="shared" si="6"/>
        <v>0</v>
      </c>
      <c r="K54" s="50"/>
    </row>
    <row r="55" spans="1:11" ht="12.75">
      <c r="A55" s="10" t="s">
        <v>43</v>
      </c>
      <c r="B55" s="11">
        <v>1939</v>
      </c>
      <c r="C55" s="11">
        <v>632</v>
      </c>
      <c r="D55" s="11">
        <v>1920</v>
      </c>
      <c r="E55" s="11">
        <v>0</v>
      </c>
      <c r="F55" s="11"/>
      <c r="G55" s="11">
        <f t="shared" si="3"/>
        <v>1920</v>
      </c>
      <c r="H55" s="11">
        <v>1603</v>
      </c>
      <c r="I55" s="32">
        <f t="shared" si="4"/>
        <v>83.48958333333333</v>
      </c>
      <c r="J55" s="32">
        <f t="shared" si="6"/>
        <v>83.48958333333333</v>
      </c>
      <c r="K55" s="50">
        <f t="shared" si="5"/>
        <v>82.67148014440433</v>
      </c>
    </row>
    <row r="56" spans="1:11" ht="13.5" thickBot="1">
      <c r="A56" s="42" t="s">
        <v>44</v>
      </c>
      <c r="B56" s="43">
        <v>46526</v>
      </c>
      <c r="C56" s="43">
        <v>24560</v>
      </c>
      <c r="D56" s="43">
        <v>55742</v>
      </c>
      <c r="E56" s="43">
        <v>4184</v>
      </c>
      <c r="F56" s="43"/>
      <c r="G56" s="43">
        <f t="shared" si="3"/>
        <v>59926</v>
      </c>
      <c r="H56" s="43">
        <v>58696</v>
      </c>
      <c r="I56" s="65">
        <f t="shared" si="4"/>
        <v>105.29941516271393</v>
      </c>
      <c r="J56" s="65">
        <f t="shared" si="6"/>
        <v>97.94746854453827</v>
      </c>
      <c r="K56" s="52">
        <f t="shared" si="5"/>
        <v>126.15741735803635</v>
      </c>
    </row>
    <row r="57" spans="1:11" ht="12.75">
      <c r="A57" s="10" t="s">
        <v>45</v>
      </c>
      <c r="B57" s="11">
        <v>1883</v>
      </c>
      <c r="C57" s="11">
        <v>1973</v>
      </c>
      <c r="D57" s="11">
        <v>1854</v>
      </c>
      <c r="E57" s="11"/>
      <c r="F57" s="11"/>
      <c r="G57" s="11">
        <f t="shared" si="3"/>
        <v>1854</v>
      </c>
      <c r="H57" s="11">
        <v>1755</v>
      </c>
      <c r="I57" s="32">
        <f t="shared" si="4"/>
        <v>94.66019417475728</v>
      </c>
      <c r="J57" s="32">
        <f t="shared" si="6"/>
        <v>94.66019417475728</v>
      </c>
      <c r="K57" s="50">
        <f t="shared" si="5"/>
        <v>93.2023366967605</v>
      </c>
    </row>
    <row r="58" spans="1:11" ht="12.75" hidden="1">
      <c r="A58" s="10" t="s">
        <v>86</v>
      </c>
      <c r="B58" s="11"/>
      <c r="C58" s="11"/>
      <c r="D58" s="58"/>
      <c r="E58" s="11"/>
      <c r="F58" s="11"/>
      <c r="G58" s="11">
        <f>D58+E58+F58</f>
        <v>0</v>
      </c>
      <c r="H58" s="11"/>
      <c r="I58" s="32" t="e">
        <f t="shared" si="4"/>
        <v>#DIV/0!</v>
      </c>
      <c r="J58" s="32" t="e">
        <f t="shared" si="6"/>
        <v>#DIV/0!</v>
      </c>
      <c r="K58" s="50" t="e">
        <f t="shared" si="5"/>
        <v>#DIV/0!</v>
      </c>
    </row>
    <row r="59" spans="1:11" ht="12.75">
      <c r="A59" s="10" t="s">
        <v>46</v>
      </c>
      <c r="B59" s="11">
        <f>B41/B57/12*1000</f>
        <v>28432.731456895028</v>
      </c>
      <c r="C59" s="11">
        <f>C41/C57/12*1000</f>
        <v>25450.329447541815</v>
      </c>
      <c r="D59" s="11">
        <f>D41/D57/12*1000</f>
        <v>27083.872707659113</v>
      </c>
      <c r="E59" s="11"/>
      <c r="F59" s="11"/>
      <c r="G59" s="11">
        <f>G41/G57/12*1000</f>
        <v>27083.872707659113</v>
      </c>
      <c r="H59" s="11">
        <f>H41/H57/12*1000</f>
        <v>28147.53086419753</v>
      </c>
      <c r="I59" s="32">
        <f t="shared" si="4"/>
        <v>103.92727498027867</v>
      </c>
      <c r="J59" s="32">
        <f t="shared" si="6"/>
        <v>103.92727498027867</v>
      </c>
      <c r="K59" s="50">
        <f t="shared" si="5"/>
        <v>98.99692861683069</v>
      </c>
    </row>
    <row r="60" spans="1:12" ht="13.5" thickBot="1">
      <c r="A60" s="6" t="s">
        <v>47</v>
      </c>
      <c r="B60" s="12">
        <f>B46/B57*1000</f>
        <v>325975.0398300584</v>
      </c>
      <c r="C60" s="12">
        <f>C46/C57*1000</f>
        <v>293061.3279270147</v>
      </c>
      <c r="D60" s="12">
        <f>D46/D57*1000</f>
        <v>334170.98166127293</v>
      </c>
      <c r="E60" s="12"/>
      <c r="F60" s="12"/>
      <c r="G60" s="12">
        <f>G46/G57*1000</f>
        <v>345406.6882416397</v>
      </c>
      <c r="H60" s="12">
        <f>ROUND(H46/H57*1000,0)</f>
        <v>331066</v>
      </c>
      <c r="I60" s="63">
        <f t="shared" si="4"/>
        <v>99.07084042850248</v>
      </c>
      <c r="J60" s="63">
        <f t="shared" si="6"/>
        <v>95.84817297121727</v>
      </c>
      <c r="K60" s="61">
        <f t="shared" si="5"/>
        <v>101.56176380025774</v>
      </c>
      <c r="L60" s="22"/>
    </row>
    <row r="61" spans="8:9" ht="12.75">
      <c r="H61" s="84"/>
      <c r="I61" s="84"/>
    </row>
    <row r="62" ht="12.75">
      <c r="A62" s="2" t="s">
        <v>64</v>
      </c>
    </row>
    <row r="63" spans="1:2" ht="12.75">
      <c r="A63" s="97" t="s">
        <v>79</v>
      </c>
      <c r="B63" s="84"/>
    </row>
    <row r="64" ht="12.75">
      <c r="A64" s="97" t="s">
        <v>72</v>
      </c>
    </row>
    <row r="65" ht="12.75">
      <c r="A65" s="97" t="s">
        <v>80</v>
      </c>
    </row>
    <row r="66" ht="12.75">
      <c r="A66" s="2" t="s">
        <v>74</v>
      </c>
    </row>
    <row r="67" ht="12.75">
      <c r="A67" s="2" t="s">
        <v>78</v>
      </c>
    </row>
    <row r="68" spans="1:10" ht="12.75">
      <c r="A68" s="204" t="s">
        <v>73</v>
      </c>
      <c r="B68" s="205"/>
      <c r="C68" s="205"/>
      <c r="D68" s="205"/>
      <c r="E68" s="205"/>
      <c r="F68" s="205"/>
      <c r="G68" s="205"/>
      <c r="H68" s="205"/>
      <c r="I68" s="205"/>
      <c r="J68" s="205"/>
    </row>
  </sheetData>
  <sheetProtection/>
  <mergeCells count="1">
    <mergeCell ref="A68:J68"/>
  </mergeCells>
  <printOptions horizontalCentered="1"/>
  <pageMargins left="0.3937007874015748" right="0" top="0.5905511811023623" bottom="0" header="0.5118110236220472" footer="0.5118110236220472"/>
  <pageSetup horizontalDpi="600" verticalDpi="600" orientation="portrait" paperSize="9" scale="75" r:id="rId1"/>
  <headerFooter alignWithMargins="0">
    <oddHeader>&amp;R&amp;"Arial CE,Tučné"&amp;12&amp;UPříloha č. 3 d)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68"/>
  <sheetViews>
    <sheetView workbookViewId="0" topLeftCell="A1">
      <selection activeCell="A1" sqref="A1"/>
    </sheetView>
  </sheetViews>
  <sheetFormatPr defaultColWidth="9.125" defaultRowHeight="12.75"/>
  <cols>
    <col min="1" max="1" width="33.125" style="2" customWidth="1"/>
    <col min="2" max="2" width="10.125" style="39" customWidth="1"/>
    <col min="3" max="3" width="9.25390625" style="2" customWidth="1"/>
    <col min="4" max="4" width="9.75390625" style="2" customWidth="1"/>
    <col min="5" max="5" width="10.625" style="2" customWidth="1"/>
    <col min="6" max="6" width="11.125" style="2" customWidth="1"/>
    <col min="7" max="7" width="10.125" style="2" customWidth="1"/>
    <col min="8" max="9" width="10.00390625" style="2" customWidth="1"/>
    <col min="10" max="10" width="8.00390625" style="2" customWidth="1"/>
    <col min="11" max="11" width="8.375" style="2" customWidth="1"/>
    <col min="12" max="16384" width="9.125" style="2" customWidth="1"/>
  </cols>
  <sheetData>
    <row r="1" spans="1:2" ht="12.75">
      <c r="A1" s="124" t="s">
        <v>85</v>
      </c>
      <c r="B1" s="38"/>
    </row>
    <row r="2" ht="12.75">
      <c r="A2" s="2" t="s">
        <v>89</v>
      </c>
    </row>
    <row r="3" spans="8:11" ht="13.5" thickBot="1">
      <c r="H3" s="3"/>
      <c r="I3" s="3"/>
      <c r="K3" s="23"/>
    </row>
    <row r="4" spans="1:11" ht="12.75">
      <c r="A4" s="4"/>
      <c r="B4" s="41">
        <v>2010</v>
      </c>
      <c r="C4" s="26"/>
      <c r="D4" s="26">
        <v>2011</v>
      </c>
      <c r="E4" s="26"/>
      <c r="F4" s="26"/>
      <c r="G4" s="26"/>
      <c r="H4" s="26"/>
      <c r="I4" s="26"/>
      <c r="J4" s="27"/>
      <c r="K4" s="18" t="s">
        <v>76</v>
      </c>
    </row>
    <row r="5" spans="1:11" ht="12.75">
      <c r="A5" s="5" t="s">
        <v>0</v>
      </c>
      <c r="B5" s="40" t="s">
        <v>1</v>
      </c>
      <c r="C5" s="28" t="s">
        <v>91</v>
      </c>
      <c r="D5" s="29"/>
      <c r="E5" s="95"/>
      <c r="F5" s="95"/>
      <c r="G5" s="95"/>
      <c r="H5" s="24" t="s">
        <v>1</v>
      </c>
      <c r="I5" s="24" t="s">
        <v>2</v>
      </c>
      <c r="J5" s="24" t="s">
        <v>2</v>
      </c>
      <c r="K5" s="18" t="s">
        <v>3</v>
      </c>
    </row>
    <row r="6" spans="1:11" ht="13.5" thickBot="1">
      <c r="A6" s="6"/>
      <c r="B6" s="30" t="s">
        <v>92</v>
      </c>
      <c r="C6" s="25" t="s">
        <v>4</v>
      </c>
      <c r="D6" s="25" t="s">
        <v>65</v>
      </c>
      <c r="E6" s="96" t="s">
        <v>60</v>
      </c>
      <c r="F6" s="96" t="s">
        <v>61</v>
      </c>
      <c r="G6" s="96" t="s">
        <v>70</v>
      </c>
      <c r="H6" s="30" t="s">
        <v>92</v>
      </c>
      <c r="I6" s="25" t="s">
        <v>95</v>
      </c>
      <c r="J6" s="25" t="s">
        <v>71</v>
      </c>
      <c r="K6" s="59" t="s">
        <v>5</v>
      </c>
    </row>
    <row r="7" spans="1:11" ht="13.5" thickBot="1">
      <c r="A7" s="6" t="s">
        <v>6</v>
      </c>
      <c r="B7" s="30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19" t="s">
        <v>94</v>
      </c>
      <c r="J7" s="30" t="s">
        <v>62</v>
      </c>
      <c r="K7" s="19" t="s">
        <v>63</v>
      </c>
    </row>
    <row r="8" spans="1:11" ht="12.75">
      <c r="A8" s="14" t="s">
        <v>7</v>
      </c>
      <c r="B8" s="62">
        <f>SUM(B10:B28)</f>
        <v>0</v>
      </c>
      <c r="C8" s="9">
        <f>SUM(C10:C28)</f>
        <v>0</v>
      </c>
      <c r="D8" s="45">
        <f>SUM(D10:D28)</f>
        <v>0</v>
      </c>
      <c r="E8" s="100" t="s">
        <v>69</v>
      </c>
      <c r="F8" s="45">
        <f>SUM(F10:F28)</f>
        <v>0</v>
      </c>
      <c r="G8" s="45">
        <f>D8+F8</f>
        <v>0</v>
      </c>
      <c r="H8" s="45">
        <f>H10+H12+H13+H14+H15+H16+H17+H18+H19+H20+H21+H22+H23+H25+H26+H27+H28</f>
        <v>688.026</v>
      </c>
      <c r="I8" s="45"/>
      <c r="J8" s="31"/>
      <c r="K8" s="66"/>
    </row>
    <row r="9" spans="1:13" ht="12.75">
      <c r="A9" s="10" t="s">
        <v>8</v>
      </c>
      <c r="B9" s="11"/>
      <c r="C9" s="11"/>
      <c r="D9" s="11"/>
      <c r="E9" s="99"/>
      <c r="F9" s="11"/>
      <c r="G9" s="11"/>
      <c r="H9" s="11"/>
      <c r="I9" s="11"/>
      <c r="J9" s="32"/>
      <c r="K9" s="46"/>
      <c r="M9" s="39"/>
    </row>
    <row r="10" spans="1:11" ht="12.75">
      <c r="A10" s="71" t="s">
        <v>58</v>
      </c>
      <c r="B10" s="11"/>
      <c r="C10" s="11"/>
      <c r="D10" s="11"/>
      <c r="E10" s="99" t="s">
        <v>69</v>
      </c>
      <c r="F10" s="11"/>
      <c r="G10" s="11">
        <f aca="true" t="shared" si="0" ref="G10:G28">D10+F10</f>
        <v>0</v>
      </c>
      <c r="H10" s="11"/>
      <c r="I10" s="11"/>
      <c r="J10" s="32"/>
      <c r="K10" s="46"/>
    </row>
    <row r="11" spans="1:11" ht="12.75">
      <c r="A11" s="71" t="s">
        <v>9</v>
      </c>
      <c r="B11" s="11"/>
      <c r="C11" s="11"/>
      <c r="D11" s="11"/>
      <c r="E11" s="99" t="s">
        <v>69</v>
      </c>
      <c r="F11" s="11"/>
      <c r="G11" s="11">
        <f t="shared" si="0"/>
        <v>0</v>
      </c>
      <c r="H11" s="11"/>
      <c r="I11" s="11"/>
      <c r="J11" s="32"/>
      <c r="K11" s="46"/>
    </row>
    <row r="12" spans="1:13" ht="12.75">
      <c r="A12" s="71" t="s">
        <v>10</v>
      </c>
      <c r="B12" s="11"/>
      <c r="C12" s="11"/>
      <c r="D12" s="11"/>
      <c r="E12" s="99" t="s">
        <v>69</v>
      </c>
      <c r="F12" s="11"/>
      <c r="G12" s="11">
        <f t="shared" si="0"/>
        <v>0</v>
      </c>
      <c r="H12" s="11"/>
      <c r="I12" s="11"/>
      <c r="J12" s="32"/>
      <c r="K12" s="46"/>
      <c r="M12" s="39"/>
    </row>
    <row r="13" spans="1:13" ht="12.75">
      <c r="A13" s="10" t="s">
        <v>11</v>
      </c>
      <c r="B13" s="11"/>
      <c r="C13" s="11"/>
      <c r="D13" s="11"/>
      <c r="E13" s="99" t="s">
        <v>69</v>
      </c>
      <c r="F13" s="11"/>
      <c r="G13" s="11">
        <f t="shared" si="0"/>
        <v>0</v>
      </c>
      <c r="H13" s="11"/>
      <c r="I13" s="11"/>
      <c r="J13" s="32"/>
      <c r="K13" s="46"/>
      <c r="L13" s="105"/>
      <c r="M13" s="105"/>
    </row>
    <row r="14" spans="1:13" ht="12.75">
      <c r="A14" s="56" t="s">
        <v>54</v>
      </c>
      <c r="B14" s="11"/>
      <c r="C14" s="11"/>
      <c r="D14" s="11"/>
      <c r="E14" s="99" t="s">
        <v>69</v>
      </c>
      <c r="F14" s="11"/>
      <c r="G14" s="11">
        <f t="shared" si="0"/>
        <v>0</v>
      </c>
      <c r="H14" s="11"/>
      <c r="I14" s="11"/>
      <c r="J14" s="32"/>
      <c r="K14" s="46"/>
      <c r="L14" s="105"/>
      <c r="M14" s="105"/>
    </row>
    <row r="15" spans="1:13" ht="12.75">
      <c r="A15" s="10" t="s">
        <v>12</v>
      </c>
      <c r="B15" s="11"/>
      <c r="C15" s="11"/>
      <c r="D15" s="11"/>
      <c r="E15" s="99" t="s">
        <v>69</v>
      </c>
      <c r="F15" s="11"/>
      <c r="G15" s="11">
        <f t="shared" si="0"/>
        <v>0</v>
      </c>
      <c r="H15" s="11"/>
      <c r="I15" s="11"/>
      <c r="J15" s="32"/>
      <c r="K15" s="46"/>
      <c r="L15" s="197"/>
      <c r="M15" s="105"/>
    </row>
    <row r="16" spans="1:13" ht="12.75">
      <c r="A16" s="10" t="s">
        <v>13</v>
      </c>
      <c r="B16" s="11"/>
      <c r="C16" s="11"/>
      <c r="D16" s="11"/>
      <c r="E16" s="99" t="s">
        <v>69</v>
      </c>
      <c r="F16" s="11"/>
      <c r="G16" s="11">
        <f t="shared" si="0"/>
        <v>0</v>
      </c>
      <c r="H16" s="11">
        <v>0.026</v>
      </c>
      <c r="I16" s="11"/>
      <c r="J16" s="32"/>
      <c r="K16" s="46"/>
      <c r="L16" s="105"/>
      <c r="M16" s="105"/>
    </row>
    <row r="17" spans="1:13" ht="12.75">
      <c r="A17" s="10" t="s">
        <v>14</v>
      </c>
      <c r="B17" s="11"/>
      <c r="C17" s="11"/>
      <c r="D17" s="11"/>
      <c r="E17" s="99" t="s">
        <v>69</v>
      </c>
      <c r="F17" s="11"/>
      <c r="G17" s="11">
        <f t="shared" si="0"/>
        <v>0</v>
      </c>
      <c r="H17" s="11">
        <f>672+1</f>
        <v>673</v>
      </c>
      <c r="I17" s="58"/>
      <c r="J17" s="32"/>
      <c r="K17" s="46"/>
      <c r="L17" s="105"/>
      <c r="M17" s="105"/>
    </row>
    <row r="18" spans="1:13" ht="12.75">
      <c r="A18" s="10" t="s">
        <v>15</v>
      </c>
      <c r="B18" s="11"/>
      <c r="C18" s="11"/>
      <c r="D18" s="58"/>
      <c r="E18" s="99" t="s">
        <v>69</v>
      </c>
      <c r="F18" s="11"/>
      <c r="G18" s="11">
        <f t="shared" si="0"/>
        <v>0</v>
      </c>
      <c r="H18" s="11"/>
      <c r="I18" s="11"/>
      <c r="J18" s="32"/>
      <c r="K18" s="46"/>
      <c r="L18" s="105"/>
      <c r="M18" s="105"/>
    </row>
    <row r="19" spans="1:13" ht="12.75">
      <c r="A19" s="10" t="s">
        <v>16</v>
      </c>
      <c r="B19" s="11"/>
      <c r="C19" s="11"/>
      <c r="D19" s="11"/>
      <c r="E19" s="99" t="s">
        <v>69</v>
      </c>
      <c r="F19" s="11"/>
      <c r="G19" s="11">
        <f t="shared" si="0"/>
        <v>0</v>
      </c>
      <c r="H19" s="11">
        <v>15</v>
      </c>
      <c r="I19" s="11"/>
      <c r="J19" s="32"/>
      <c r="K19" s="46"/>
      <c r="L19" s="105"/>
      <c r="M19" s="105"/>
    </row>
    <row r="20" spans="1:11" ht="12.75">
      <c r="A20" s="10" t="s">
        <v>59</v>
      </c>
      <c r="B20" s="11"/>
      <c r="C20" s="11"/>
      <c r="D20" s="11"/>
      <c r="E20" s="99" t="s">
        <v>69</v>
      </c>
      <c r="F20" s="11"/>
      <c r="G20" s="11">
        <f t="shared" si="0"/>
        <v>0</v>
      </c>
      <c r="H20" s="11"/>
      <c r="I20" s="11"/>
      <c r="J20" s="32"/>
      <c r="K20" s="46"/>
    </row>
    <row r="21" spans="1:11" ht="12.75">
      <c r="A21" s="57" t="s">
        <v>55</v>
      </c>
      <c r="B21" s="11"/>
      <c r="C21" s="11"/>
      <c r="D21" s="11"/>
      <c r="E21" s="99" t="s">
        <v>69</v>
      </c>
      <c r="F21" s="11"/>
      <c r="G21" s="11">
        <f t="shared" si="0"/>
        <v>0</v>
      </c>
      <c r="H21" s="11"/>
      <c r="I21" s="58"/>
      <c r="J21" s="32"/>
      <c r="K21" s="46"/>
    </row>
    <row r="22" spans="1:11" ht="12.75">
      <c r="A22" s="10" t="s">
        <v>17</v>
      </c>
      <c r="B22" s="11"/>
      <c r="C22" s="11"/>
      <c r="D22" s="11"/>
      <c r="E22" s="99" t="s">
        <v>69</v>
      </c>
      <c r="F22" s="11"/>
      <c r="G22" s="11">
        <f t="shared" si="0"/>
        <v>0</v>
      </c>
      <c r="H22" s="11"/>
      <c r="I22" s="11"/>
      <c r="J22" s="32"/>
      <c r="K22" s="46"/>
    </row>
    <row r="23" spans="1:11" ht="12.75">
      <c r="A23" s="57" t="s">
        <v>56</v>
      </c>
      <c r="B23" s="11"/>
      <c r="C23" s="11"/>
      <c r="D23" s="11"/>
      <c r="E23" s="99" t="s">
        <v>69</v>
      </c>
      <c r="F23" s="11"/>
      <c r="G23" s="11">
        <f t="shared" si="0"/>
        <v>0</v>
      </c>
      <c r="H23" s="11"/>
      <c r="I23" s="11"/>
      <c r="J23" s="32"/>
      <c r="K23" s="46"/>
    </row>
    <row r="24" spans="1:11" ht="12.75" customHeight="1">
      <c r="A24" s="10" t="s">
        <v>18</v>
      </c>
      <c r="B24" s="11"/>
      <c r="C24" s="11"/>
      <c r="D24" s="11"/>
      <c r="E24" s="99" t="s">
        <v>69</v>
      </c>
      <c r="F24" s="11"/>
      <c r="G24" s="11">
        <f t="shared" si="0"/>
        <v>0</v>
      </c>
      <c r="H24" s="11"/>
      <c r="I24" s="11"/>
      <c r="J24" s="32"/>
      <c r="K24" s="46"/>
    </row>
    <row r="25" spans="1:11" ht="12.75" customHeight="1">
      <c r="A25" s="10" t="s">
        <v>87</v>
      </c>
      <c r="B25" s="11"/>
      <c r="C25" s="11"/>
      <c r="D25" s="11"/>
      <c r="E25" s="99" t="s">
        <v>69</v>
      </c>
      <c r="F25" s="11"/>
      <c r="G25" s="11">
        <f t="shared" si="0"/>
        <v>0</v>
      </c>
      <c r="H25" s="11"/>
      <c r="I25" s="11"/>
      <c r="J25" s="32"/>
      <c r="K25" s="46"/>
    </row>
    <row r="26" spans="1:11" ht="12.75" customHeight="1">
      <c r="A26" s="10" t="s">
        <v>57</v>
      </c>
      <c r="B26" s="11"/>
      <c r="C26" s="11"/>
      <c r="D26" s="11"/>
      <c r="E26" s="99" t="s">
        <v>69</v>
      </c>
      <c r="F26" s="11"/>
      <c r="G26" s="11">
        <f t="shared" si="0"/>
        <v>0</v>
      </c>
      <c r="H26" s="11"/>
      <c r="I26" s="11"/>
      <c r="J26" s="32"/>
      <c r="K26" s="46"/>
    </row>
    <row r="27" spans="1:11" ht="12.75" customHeight="1">
      <c r="A27" s="71" t="s">
        <v>88</v>
      </c>
      <c r="B27" s="72"/>
      <c r="C27" s="11"/>
      <c r="D27" s="11"/>
      <c r="E27" s="99" t="s">
        <v>69</v>
      </c>
      <c r="F27" s="72"/>
      <c r="G27" s="72">
        <f t="shared" si="0"/>
        <v>0</v>
      </c>
      <c r="H27" s="72"/>
      <c r="I27" s="72"/>
      <c r="J27" s="73"/>
      <c r="K27" s="75"/>
    </row>
    <row r="28" spans="1:11" ht="13.5" thickBot="1">
      <c r="A28" s="6" t="s">
        <v>19</v>
      </c>
      <c r="B28" s="12"/>
      <c r="C28" s="12"/>
      <c r="D28" s="12">
        <v>0</v>
      </c>
      <c r="E28" s="30" t="s">
        <v>69</v>
      </c>
      <c r="F28" s="12"/>
      <c r="G28" s="12">
        <f t="shared" si="0"/>
        <v>0</v>
      </c>
      <c r="H28" s="90"/>
      <c r="I28" s="12"/>
      <c r="J28" s="63"/>
      <c r="K28" s="67"/>
    </row>
    <row r="29" spans="1:11" ht="12.75">
      <c r="A29" s="5"/>
      <c r="B29" s="13"/>
      <c r="C29" s="13"/>
      <c r="D29" s="13"/>
      <c r="E29" s="13"/>
      <c r="F29" s="13"/>
      <c r="G29" s="13"/>
      <c r="H29" s="13"/>
      <c r="I29" s="13"/>
      <c r="J29" s="33"/>
      <c r="K29" s="68"/>
    </row>
    <row r="30" spans="1:11" ht="12.75">
      <c r="A30" s="64" t="s">
        <v>20</v>
      </c>
      <c r="B30" s="62">
        <f>B32+B38</f>
        <v>0</v>
      </c>
      <c r="C30" s="9">
        <f>C32+C38</f>
        <v>0</v>
      </c>
      <c r="D30" s="9">
        <f>D32+D38</f>
        <v>8815</v>
      </c>
      <c r="E30" s="9">
        <f>E32+E38</f>
        <v>0</v>
      </c>
      <c r="F30" s="9">
        <f>F32+F38</f>
        <v>0</v>
      </c>
      <c r="G30" s="9">
        <f aca="true" t="shared" si="1" ref="G30:G57">D30+E30+F30</f>
        <v>8815</v>
      </c>
      <c r="H30" s="9">
        <f>H32+H38</f>
        <v>7488</v>
      </c>
      <c r="I30" s="31">
        <f>H30/D30*100</f>
        <v>84.94611457742485</v>
      </c>
      <c r="J30" s="31">
        <f>H30/G30*100</f>
        <v>84.94611457742485</v>
      </c>
      <c r="K30" s="66"/>
    </row>
    <row r="31" spans="1:11" ht="12.75">
      <c r="A31" s="10" t="s">
        <v>21</v>
      </c>
      <c r="B31" s="11"/>
      <c r="C31" s="11"/>
      <c r="D31" s="11"/>
      <c r="E31" s="11"/>
      <c r="F31" s="11"/>
      <c r="G31" s="11"/>
      <c r="H31" s="11"/>
      <c r="I31" s="32"/>
      <c r="J31" s="32"/>
      <c r="K31" s="46"/>
    </row>
    <row r="32" spans="1:11" ht="12.75">
      <c r="A32" s="64" t="s">
        <v>22</v>
      </c>
      <c r="B32" s="62">
        <f>B34+B35+B36</f>
        <v>0</v>
      </c>
      <c r="C32" s="9">
        <f>C34+C35+C36</f>
        <v>0</v>
      </c>
      <c r="D32" s="9">
        <f>D34+D35+D36</f>
        <v>873</v>
      </c>
      <c r="E32" s="9">
        <f>E34+E35+E36</f>
        <v>0</v>
      </c>
      <c r="F32" s="9">
        <f>F34+F35+F36</f>
        <v>0</v>
      </c>
      <c r="G32" s="9">
        <f t="shared" si="1"/>
        <v>873</v>
      </c>
      <c r="H32" s="9">
        <f>H34+H35+H36</f>
        <v>772</v>
      </c>
      <c r="I32" s="31">
        <f>H32/D32*100</f>
        <v>88.43069873997709</v>
      </c>
      <c r="J32" s="31">
        <f>H32/G32*100</f>
        <v>88.43069873997709</v>
      </c>
      <c r="K32" s="66"/>
    </row>
    <row r="33" spans="1:11" ht="12.75">
      <c r="A33" s="10" t="s">
        <v>23</v>
      </c>
      <c r="B33" s="11"/>
      <c r="C33" s="11"/>
      <c r="D33" s="11"/>
      <c r="E33" s="11"/>
      <c r="F33" s="11"/>
      <c r="G33" s="11"/>
      <c r="H33" s="11"/>
      <c r="I33" s="32"/>
      <c r="J33" s="32"/>
      <c r="K33" s="46"/>
    </row>
    <row r="34" spans="1:11" ht="12.75">
      <c r="A34" s="10" t="s">
        <v>24</v>
      </c>
      <c r="B34" s="11"/>
      <c r="C34" s="11"/>
      <c r="D34" s="11">
        <v>100</v>
      </c>
      <c r="E34" s="11"/>
      <c r="F34" s="11"/>
      <c r="G34" s="11">
        <f t="shared" si="1"/>
        <v>100</v>
      </c>
      <c r="H34" s="11">
        <v>0</v>
      </c>
      <c r="I34" s="32">
        <f aca="true" t="shared" si="2" ref="I34:I60">H34/D34*100</f>
        <v>0</v>
      </c>
      <c r="J34" s="32">
        <f>H34/G34*100</f>
        <v>0</v>
      </c>
      <c r="K34" s="46"/>
    </row>
    <row r="35" spans="1:11" ht="12.75">
      <c r="A35" s="10" t="s">
        <v>25</v>
      </c>
      <c r="B35" s="11"/>
      <c r="C35" s="11"/>
      <c r="D35" s="11">
        <v>773</v>
      </c>
      <c r="E35" s="11"/>
      <c r="F35" s="11"/>
      <c r="G35" s="11">
        <f t="shared" si="1"/>
        <v>773</v>
      </c>
      <c r="H35" s="11">
        <v>772</v>
      </c>
      <c r="I35" s="32">
        <f t="shared" si="2"/>
        <v>99.87063389391979</v>
      </c>
      <c r="J35" s="32">
        <f>H35/G35*100</f>
        <v>99.87063389391979</v>
      </c>
      <c r="K35" s="46"/>
    </row>
    <row r="36" spans="1:11" ht="12.75">
      <c r="A36" s="14" t="s">
        <v>26</v>
      </c>
      <c r="B36" s="15"/>
      <c r="C36" s="15"/>
      <c r="D36" s="15"/>
      <c r="E36" s="15"/>
      <c r="F36" s="15"/>
      <c r="G36" s="15">
        <f t="shared" si="1"/>
        <v>0</v>
      </c>
      <c r="H36" s="15">
        <v>0</v>
      </c>
      <c r="I36" s="34"/>
      <c r="J36" s="34"/>
      <c r="K36" s="66"/>
    </row>
    <row r="37" spans="1:11" ht="12.75">
      <c r="A37" s="5"/>
      <c r="B37" s="13"/>
      <c r="C37" s="13"/>
      <c r="D37" s="13"/>
      <c r="E37" s="13"/>
      <c r="F37" s="13"/>
      <c r="G37" s="13">
        <f t="shared" si="1"/>
        <v>0</v>
      </c>
      <c r="H37" s="13"/>
      <c r="I37" s="33"/>
      <c r="J37" s="33"/>
      <c r="K37" s="68"/>
    </row>
    <row r="38" spans="1:11" ht="12.75">
      <c r="A38" s="64" t="s">
        <v>27</v>
      </c>
      <c r="B38" s="62">
        <f>B40+B43+B44+B45+B46</f>
        <v>0</v>
      </c>
      <c r="C38" s="9">
        <f>C40+C46+C43+C44+C45</f>
        <v>0</v>
      </c>
      <c r="D38" s="9">
        <f>D40+D46+D43+D44+D45</f>
        <v>7942</v>
      </c>
      <c r="E38" s="9">
        <f>E40+E46+E43+E44+E45</f>
        <v>0</v>
      </c>
      <c r="F38" s="9">
        <f>F40+F46+F43+F44+F45</f>
        <v>0</v>
      </c>
      <c r="G38" s="9">
        <f t="shared" si="1"/>
        <v>7942</v>
      </c>
      <c r="H38" s="9">
        <f>H40+H43+H44+H45+H46</f>
        <v>6716</v>
      </c>
      <c r="I38" s="31">
        <f t="shared" si="2"/>
        <v>84.56308234701586</v>
      </c>
      <c r="J38" s="31">
        <f>H38/G38*100</f>
        <v>84.56308234701586</v>
      </c>
      <c r="K38" s="66"/>
    </row>
    <row r="39" spans="1:11" ht="12.75">
      <c r="A39" s="10" t="s">
        <v>23</v>
      </c>
      <c r="B39" s="11"/>
      <c r="C39" s="11"/>
      <c r="D39" s="11"/>
      <c r="E39" s="11"/>
      <c r="F39" s="11"/>
      <c r="G39" s="11"/>
      <c r="H39" s="11"/>
      <c r="I39" s="32"/>
      <c r="J39" s="32"/>
      <c r="K39" s="46"/>
    </row>
    <row r="40" spans="1:11" ht="12.75">
      <c r="A40" s="16" t="s">
        <v>28</v>
      </c>
      <c r="B40" s="21">
        <f>B41+B42</f>
        <v>0</v>
      </c>
      <c r="C40" s="17">
        <f>C41+C42</f>
        <v>0</v>
      </c>
      <c r="D40" s="17">
        <f>D41+D42</f>
        <v>4397</v>
      </c>
      <c r="E40" s="17">
        <f>E41+E42</f>
        <v>0</v>
      </c>
      <c r="F40" s="17">
        <f>F41+F42</f>
        <v>0</v>
      </c>
      <c r="G40" s="17">
        <f t="shared" si="1"/>
        <v>4397</v>
      </c>
      <c r="H40" s="17">
        <f>H41+H42</f>
        <v>4235</v>
      </c>
      <c r="I40" s="35">
        <f t="shared" si="2"/>
        <v>96.3156697748465</v>
      </c>
      <c r="J40" s="35">
        <f>H40/G40*100</f>
        <v>96.3156697748465</v>
      </c>
      <c r="K40" s="46"/>
    </row>
    <row r="41" spans="1:11" ht="12.75">
      <c r="A41" s="10" t="s">
        <v>29</v>
      </c>
      <c r="B41" s="11"/>
      <c r="C41" s="11"/>
      <c r="D41" s="11">
        <v>4127</v>
      </c>
      <c r="E41" s="11"/>
      <c r="F41" s="11"/>
      <c r="G41" s="11">
        <f t="shared" si="1"/>
        <v>4127</v>
      </c>
      <c r="H41" s="58">
        <v>4117</v>
      </c>
      <c r="I41" s="126">
        <f t="shared" si="2"/>
        <v>99.75769323964138</v>
      </c>
      <c r="J41" s="32">
        <f>H41/G41*100</f>
        <v>99.75769323964138</v>
      </c>
      <c r="K41" s="46"/>
    </row>
    <row r="42" spans="1:11" ht="12.75">
      <c r="A42" s="44" t="s">
        <v>30</v>
      </c>
      <c r="B42" s="11"/>
      <c r="C42" s="11"/>
      <c r="D42" s="11">
        <v>270</v>
      </c>
      <c r="E42" s="11"/>
      <c r="F42" s="11"/>
      <c r="G42" s="11">
        <f t="shared" si="1"/>
        <v>270</v>
      </c>
      <c r="H42" s="58">
        <v>118</v>
      </c>
      <c r="I42" s="126">
        <f t="shared" si="2"/>
        <v>43.7037037037037</v>
      </c>
      <c r="J42" s="32">
        <f>H42/G42*100</f>
        <v>43.7037037037037</v>
      </c>
      <c r="K42" s="46"/>
    </row>
    <row r="43" spans="1:14" ht="12.75">
      <c r="A43" s="20" t="s">
        <v>31</v>
      </c>
      <c r="B43" s="21"/>
      <c r="C43" s="21"/>
      <c r="D43" s="21">
        <v>1495</v>
      </c>
      <c r="E43" s="21"/>
      <c r="F43" s="21"/>
      <c r="G43" s="21">
        <f t="shared" si="1"/>
        <v>1495</v>
      </c>
      <c r="H43" s="101">
        <f>1399+1</f>
        <v>1400</v>
      </c>
      <c r="I43" s="127">
        <f t="shared" si="2"/>
        <v>93.64548494983278</v>
      </c>
      <c r="J43" s="36">
        <f>H43/G43*100</f>
        <v>93.64548494983278</v>
      </c>
      <c r="K43" s="46"/>
      <c r="N43" s="2" t="s">
        <v>52</v>
      </c>
    </row>
    <row r="44" spans="1:11" ht="12.75">
      <c r="A44" s="20" t="s">
        <v>32</v>
      </c>
      <c r="B44" s="21"/>
      <c r="C44" s="21"/>
      <c r="D44" s="21">
        <v>41</v>
      </c>
      <c r="E44" s="21"/>
      <c r="F44" s="21"/>
      <c r="G44" s="21">
        <f t="shared" si="1"/>
        <v>41</v>
      </c>
      <c r="H44" s="101">
        <v>41</v>
      </c>
      <c r="I44" s="127">
        <f t="shared" si="2"/>
        <v>100</v>
      </c>
      <c r="J44" s="36">
        <f>H44/G44*100</f>
        <v>100</v>
      </c>
      <c r="K44" s="46"/>
    </row>
    <row r="45" spans="1:11" ht="12.75">
      <c r="A45" s="20" t="s">
        <v>49</v>
      </c>
      <c r="B45" s="21">
        <v>0</v>
      </c>
      <c r="C45" s="17">
        <v>0</v>
      </c>
      <c r="D45" s="21">
        <v>0</v>
      </c>
      <c r="E45" s="21"/>
      <c r="F45" s="21"/>
      <c r="G45" s="21">
        <f t="shared" si="1"/>
        <v>0</v>
      </c>
      <c r="H45" s="101">
        <v>0</v>
      </c>
      <c r="I45" s="127"/>
      <c r="J45" s="36"/>
      <c r="K45" s="46"/>
    </row>
    <row r="46" spans="1:11" ht="12.75">
      <c r="A46" s="20" t="s">
        <v>34</v>
      </c>
      <c r="B46" s="21">
        <f>B48+B49+B50+B52+B56</f>
        <v>0</v>
      </c>
      <c r="C46" s="17">
        <f>C48+C49+C50+C52+C56</f>
        <v>0</v>
      </c>
      <c r="D46" s="17">
        <f>D48+D49+D50+D52+D56</f>
        <v>2009</v>
      </c>
      <c r="E46" s="17">
        <f>E48+E49+E50+E52+E56</f>
        <v>0</v>
      </c>
      <c r="F46" s="17">
        <f>F48+F49+F50+F52+F56</f>
        <v>0</v>
      </c>
      <c r="G46" s="17">
        <f t="shared" si="1"/>
        <v>2009</v>
      </c>
      <c r="H46" s="17">
        <f>H48+H49+H50+H52+H56</f>
        <v>1040</v>
      </c>
      <c r="I46" s="35">
        <f t="shared" si="2"/>
        <v>51.76704828272772</v>
      </c>
      <c r="J46" s="35">
        <f>H46/G46*100</f>
        <v>51.76704828272772</v>
      </c>
      <c r="K46" s="46"/>
    </row>
    <row r="47" spans="1:11" ht="12.75">
      <c r="A47" s="10" t="s">
        <v>35</v>
      </c>
      <c r="B47" s="11"/>
      <c r="C47" s="11"/>
      <c r="D47" s="11"/>
      <c r="E47" s="11"/>
      <c r="F47" s="11"/>
      <c r="G47" s="11"/>
      <c r="H47" s="11"/>
      <c r="I47" s="32"/>
      <c r="J47" s="32"/>
      <c r="K47" s="46"/>
    </row>
    <row r="48" spans="1:11" ht="12.75">
      <c r="A48" s="10" t="s">
        <v>36</v>
      </c>
      <c r="B48" s="69"/>
      <c r="C48" s="69"/>
      <c r="D48" s="69">
        <v>147</v>
      </c>
      <c r="E48" s="69"/>
      <c r="F48" s="69"/>
      <c r="G48" s="69">
        <f t="shared" si="1"/>
        <v>147</v>
      </c>
      <c r="H48" s="69">
        <v>125</v>
      </c>
      <c r="I48" s="60">
        <f t="shared" si="2"/>
        <v>85.03401360544217</v>
      </c>
      <c r="J48" s="32">
        <f aca="true" t="shared" si="3" ref="J48:J60">H48/G48*100</f>
        <v>85.03401360544217</v>
      </c>
      <c r="K48" s="46"/>
    </row>
    <row r="49" spans="1:11" ht="12.75">
      <c r="A49" s="10" t="s">
        <v>37</v>
      </c>
      <c r="B49" s="11"/>
      <c r="C49" s="11"/>
      <c r="D49" s="11">
        <v>85</v>
      </c>
      <c r="E49" s="11"/>
      <c r="F49" s="11"/>
      <c r="G49" s="11">
        <f t="shared" si="1"/>
        <v>85</v>
      </c>
      <c r="H49" s="11">
        <v>72</v>
      </c>
      <c r="I49" s="32">
        <f t="shared" si="2"/>
        <v>84.70588235294117</v>
      </c>
      <c r="J49" s="32">
        <f t="shared" si="3"/>
        <v>84.70588235294117</v>
      </c>
      <c r="K49" s="46"/>
    </row>
    <row r="50" spans="1:11" ht="12.75">
      <c r="A50" s="10" t="s">
        <v>38</v>
      </c>
      <c r="B50" s="11"/>
      <c r="C50" s="11"/>
      <c r="D50" s="11">
        <v>1151</v>
      </c>
      <c r="E50" s="11"/>
      <c r="F50" s="11"/>
      <c r="G50" s="11">
        <f t="shared" si="1"/>
        <v>1151</v>
      </c>
      <c r="H50" s="11">
        <f>592+1</f>
        <v>593</v>
      </c>
      <c r="I50" s="32">
        <f t="shared" si="2"/>
        <v>51.52041702867072</v>
      </c>
      <c r="J50" s="32">
        <f t="shared" si="3"/>
        <v>51.52041702867072</v>
      </c>
      <c r="K50" s="46"/>
    </row>
    <row r="51" spans="1:11" ht="12.75">
      <c r="A51" s="10" t="s">
        <v>39</v>
      </c>
      <c r="B51" s="11"/>
      <c r="C51" s="11"/>
      <c r="D51" s="11">
        <v>151</v>
      </c>
      <c r="E51" s="11"/>
      <c r="F51" s="11"/>
      <c r="G51" s="11">
        <f t="shared" si="1"/>
        <v>151</v>
      </c>
      <c r="H51" s="11">
        <v>114</v>
      </c>
      <c r="I51" s="32">
        <f t="shared" si="2"/>
        <v>75.49668874172185</v>
      </c>
      <c r="J51" s="32">
        <f t="shared" si="3"/>
        <v>75.49668874172185</v>
      </c>
      <c r="K51" s="46"/>
    </row>
    <row r="52" spans="1:11" ht="12.75">
      <c r="A52" s="10" t="s">
        <v>40</v>
      </c>
      <c r="B52" s="11"/>
      <c r="C52" s="11"/>
      <c r="D52" s="11">
        <v>420</v>
      </c>
      <c r="E52" s="11"/>
      <c r="F52" s="11"/>
      <c r="G52" s="11">
        <f t="shared" si="1"/>
        <v>420</v>
      </c>
      <c r="H52" s="11">
        <f>232+1</f>
        <v>233</v>
      </c>
      <c r="I52" s="32">
        <f t="shared" si="2"/>
        <v>55.47619047619048</v>
      </c>
      <c r="J52" s="32">
        <f t="shared" si="3"/>
        <v>55.47619047619048</v>
      </c>
      <c r="K52" s="46"/>
    </row>
    <row r="53" spans="1:11" ht="12.75">
      <c r="A53" s="10" t="s">
        <v>41</v>
      </c>
      <c r="B53" s="11"/>
      <c r="C53" s="11"/>
      <c r="D53" s="11">
        <v>50</v>
      </c>
      <c r="E53" s="11"/>
      <c r="F53" s="11"/>
      <c r="G53" s="11">
        <f t="shared" si="1"/>
        <v>50</v>
      </c>
      <c r="H53" s="11">
        <f>43+1</f>
        <v>44</v>
      </c>
      <c r="I53" s="32">
        <f t="shared" si="2"/>
        <v>88</v>
      </c>
      <c r="J53" s="32">
        <f t="shared" si="3"/>
        <v>88</v>
      </c>
      <c r="K53" s="46"/>
    </row>
    <row r="54" spans="1:11" ht="12.75">
      <c r="A54" s="10" t="s">
        <v>42</v>
      </c>
      <c r="B54" s="11"/>
      <c r="C54" s="11"/>
      <c r="D54" s="11">
        <v>0</v>
      </c>
      <c r="E54" s="11"/>
      <c r="F54" s="11"/>
      <c r="G54" s="11">
        <f t="shared" si="1"/>
        <v>0</v>
      </c>
      <c r="H54" s="11">
        <v>0</v>
      </c>
      <c r="I54" s="32"/>
      <c r="J54" s="32"/>
      <c r="K54" s="46"/>
    </row>
    <row r="55" spans="1:11" ht="12.75">
      <c r="A55" s="10" t="s">
        <v>43</v>
      </c>
      <c r="B55" s="11"/>
      <c r="C55" s="11"/>
      <c r="D55" s="11">
        <v>335</v>
      </c>
      <c r="E55" s="11"/>
      <c r="F55" s="11"/>
      <c r="G55" s="11">
        <f t="shared" si="1"/>
        <v>335</v>
      </c>
      <c r="H55" s="11">
        <v>167</v>
      </c>
      <c r="I55" s="32">
        <f t="shared" si="2"/>
        <v>49.850746268656714</v>
      </c>
      <c r="J55" s="32">
        <f t="shared" si="3"/>
        <v>49.850746268656714</v>
      </c>
      <c r="K55" s="46"/>
    </row>
    <row r="56" spans="1:11" ht="13.5" thickBot="1">
      <c r="A56" s="42" t="s">
        <v>44</v>
      </c>
      <c r="B56" s="43"/>
      <c r="C56" s="43"/>
      <c r="D56" s="43">
        <v>206</v>
      </c>
      <c r="E56" s="43"/>
      <c r="F56" s="43"/>
      <c r="G56" s="43">
        <f t="shared" si="1"/>
        <v>206</v>
      </c>
      <c r="H56" s="43">
        <v>17</v>
      </c>
      <c r="I56" s="65">
        <f t="shared" si="2"/>
        <v>8.25242718446602</v>
      </c>
      <c r="J56" s="65">
        <f t="shared" si="3"/>
        <v>8.25242718446602</v>
      </c>
      <c r="K56" s="48"/>
    </row>
    <row r="57" spans="1:11" ht="12.75">
      <c r="A57" s="10" t="s">
        <v>45</v>
      </c>
      <c r="B57" s="58"/>
      <c r="C57" s="58"/>
      <c r="D57" s="58">
        <v>7</v>
      </c>
      <c r="E57" s="58"/>
      <c r="F57" s="58"/>
      <c r="G57" s="58">
        <f t="shared" si="1"/>
        <v>7</v>
      </c>
      <c r="H57" s="58">
        <v>5</v>
      </c>
      <c r="I57" s="126">
        <f t="shared" si="2"/>
        <v>71.42857142857143</v>
      </c>
      <c r="J57" s="32">
        <f t="shared" si="3"/>
        <v>71.42857142857143</v>
      </c>
      <c r="K57" s="46"/>
    </row>
    <row r="58" spans="1:11" ht="12.75" hidden="1">
      <c r="A58" s="10" t="s">
        <v>86</v>
      </c>
      <c r="B58" s="58"/>
      <c r="C58" s="58"/>
      <c r="D58" s="58"/>
      <c r="E58" s="58"/>
      <c r="F58" s="58"/>
      <c r="G58" s="58"/>
      <c r="H58" s="58"/>
      <c r="I58" s="126" t="e">
        <f t="shared" si="2"/>
        <v>#DIV/0!</v>
      </c>
      <c r="J58" s="32" t="e">
        <f t="shared" si="3"/>
        <v>#DIV/0!</v>
      </c>
      <c r="K58" s="46"/>
    </row>
    <row r="59" spans="1:11" ht="12.75">
      <c r="A59" s="10" t="s">
        <v>46</v>
      </c>
      <c r="B59" s="58"/>
      <c r="C59" s="58"/>
      <c r="D59" s="58">
        <f>D41/D57/12*1000</f>
        <v>49130.95238095238</v>
      </c>
      <c r="E59" s="58"/>
      <c r="F59" s="58"/>
      <c r="G59" s="58">
        <f>G41/G57/12*1000</f>
        <v>49130.95238095238</v>
      </c>
      <c r="H59" s="58">
        <f>H41/H57/12*1000</f>
        <v>68616.66666666666</v>
      </c>
      <c r="I59" s="126">
        <f t="shared" si="2"/>
        <v>139.66077053549793</v>
      </c>
      <c r="J59" s="32">
        <f t="shared" si="3"/>
        <v>139.66077053549793</v>
      </c>
      <c r="K59" s="46"/>
    </row>
    <row r="60" spans="1:12" ht="13.5" thickBot="1">
      <c r="A60" s="6" t="s">
        <v>47</v>
      </c>
      <c r="B60" s="90"/>
      <c r="C60" s="90"/>
      <c r="D60" s="90">
        <f>D46/D57*1000</f>
        <v>287000</v>
      </c>
      <c r="E60" s="90"/>
      <c r="F60" s="90"/>
      <c r="G60" s="90">
        <f>G46/G57*1000</f>
        <v>287000</v>
      </c>
      <c r="H60" s="90">
        <f>ROUND(H46/H57*1000,0)</f>
        <v>208000</v>
      </c>
      <c r="I60" s="167">
        <f t="shared" si="2"/>
        <v>72.47386759581882</v>
      </c>
      <c r="J60" s="63">
        <f t="shared" si="3"/>
        <v>72.47386759581882</v>
      </c>
      <c r="K60" s="67"/>
      <c r="L60" s="22"/>
    </row>
    <row r="61" spans="8:9" ht="12.75">
      <c r="H61" s="84"/>
      <c r="I61" s="84"/>
    </row>
    <row r="62" ht="12.75">
      <c r="A62" s="2" t="s">
        <v>64</v>
      </c>
    </row>
    <row r="63" spans="1:2" ht="12.75">
      <c r="A63" s="97" t="s">
        <v>79</v>
      </c>
      <c r="B63" s="84"/>
    </row>
    <row r="64" ht="12.75">
      <c r="A64" s="97" t="s">
        <v>72</v>
      </c>
    </row>
    <row r="65" ht="12.75">
      <c r="A65" s="97" t="s">
        <v>80</v>
      </c>
    </row>
    <row r="66" ht="12.75">
      <c r="A66" s="2" t="s">
        <v>74</v>
      </c>
    </row>
    <row r="67" ht="12.75">
      <c r="A67" s="2" t="s">
        <v>78</v>
      </c>
    </row>
    <row r="68" spans="1:10" ht="12.75">
      <c r="A68" s="204" t="s">
        <v>73</v>
      </c>
      <c r="B68" s="205"/>
      <c r="C68" s="205"/>
      <c r="D68" s="205"/>
      <c r="E68" s="205"/>
      <c r="F68" s="205"/>
      <c r="G68" s="205"/>
      <c r="H68" s="205"/>
      <c r="I68" s="205"/>
      <c r="J68" s="205"/>
    </row>
  </sheetData>
  <sheetProtection/>
  <mergeCells count="1">
    <mergeCell ref="A68:J68"/>
  </mergeCells>
  <printOptions horizontalCentered="1"/>
  <pageMargins left="0.3937007874015748" right="0" top="0.5905511811023623" bottom="0" header="0.5118110236220472" footer="0.5118110236220472"/>
  <pageSetup horizontalDpi="600" verticalDpi="600" orientation="portrait" paperSize="9" scale="75" r:id="rId1"/>
  <headerFooter alignWithMargins="0">
    <oddHeader>&amp;R&amp;"Arial CE,Tučné"&amp;12&amp;UPříloha č. 3 e)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68"/>
  <sheetViews>
    <sheetView workbookViewId="0" topLeftCell="A1">
      <selection activeCell="A1" sqref="A1"/>
    </sheetView>
  </sheetViews>
  <sheetFormatPr defaultColWidth="9.125" defaultRowHeight="12.75"/>
  <cols>
    <col min="1" max="1" width="33.125" style="2" customWidth="1"/>
    <col min="2" max="2" width="9.875" style="39" bestFit="1" customWidth="1"/>
    <col min="3" max="3" width="10.00390625" style="2" customWidth="1"/>
    <col min="4" max="4" width="9.625" style="2" customWidth="1"/>
    <col min="5" max="5" width="10.875" style="2" customWidth="1"/>
    <col min="6" max="6" width="10.625" style="2" customWidth="1"/>
    <col min="7" max="7" width="10.00390625" style="2" customWidth="1"/>
    <col min="8" max="9" width="9.875" style="2" customWidth="1"/>
    <col min="10" max="10" width="8.00390625" style="2" customWidth="1"/>
    <col min="11" max="16384" width="9.125" style="2" customWidth="1"/>
  </cols>
  <sheetData>
    <row r="1" spans="1:2" ht="12.75">
      <c r="A1" s="1" t="s">
        <v>53</v>
      </c>
      <c r="B1" s="38"/>
    </row>
    <row r="2" ht="12.75">
      <c r="A2" s="2" t="s">
        <v>89</v>
      </c>
    </row>
    <row r="3" spans="8:11" ht="13.5" thickBot="1">
      <c r="H3" s="3"/>
      <c r="I3" s="3"/>
      <c r="K3" s="23"/>
    </row>
    <row r="4" spans="1:11" ht="12.75">
      <c r="A4" s="4"/>
      <c r="B4" s="41">
        <v>2010</v>
      </c>
      <c r="C4" s="26"/>
      <c r="D4" s="26">
        <v>2011</v>
      </c>
      <c r="E4" s="26"/>
      <c r="F4" s="26"/>
      <c r="G4" s="26"/>
      <c r="H4" s="26"/>
      <c r="I4" s="26"/>
      <c r="J4" s="27"/>
      <c r="K4" s="18" t="s">
        <v>76</v>
      </c>
    </row>
    <row r="5" spans="1:11" ht="12.75">
      <c r="A5" s="5" t="s">
        <v>0</v>
      </c>
      <c r="B5" s="91" t="s">
        <v>1</v>
      </c>
      <c r="C5" s="92" t="s">
        <v>91</v>
      </c>
      <c r="D5" s="29"/>
      <c r="E5" s="95"/>
      <c r="F5" s="95"/>
      <c r="G5" s="95"/>
      <c r="H5" s="24" t="s">
        <v>1</v>
      </c>
      <c r="I5" s="24" t="s">
        <v>2</v>
      </c>
      <c r="J5" s="24" t="s">
        <v>2</v>
      </c>
      <c r="K5" s="18" t="s">
        <v>3</v>
      </c>
    </row>
    <row r="6" spans="1:11" ht="13.5" thickBot="1">
      <c r="A6" s="6"/>
      <c r="B6" s="25" t="s">
        <v>93</v>
      </c>
      <c r="C6" s="7" t="s">
        <v>4</v>
      </c>
      <c r="D6" s="25" t="s">
        <v>65</v>
      </c>
      <c r="E6" s="96" t="s">
        <v>60</v>
      </c>
      <c r="F6" s="96" t="s">
        <v>61</v>
      </c>
      <c r="G6" s="96" t="s">
        <v>70</v>
      </c>
      <c r="H6" s="25" t="s">
        <v>93</v>
      </c>
      <c r="I6" s="25" t="s">
        <v>95</v>
      </c>
      <c r="J6" s="25" t="s">
        <v>71</v>
      </c>
      <c r="K6" s="59" t="s">
        <v>5</v>
      </c>
    </row>
    <row r="7" spans="1:11" ht="13.5" thickBot="1">
      <c r="A7" s="6" t="s">
        <v>6</v>
      </c>
      <c r="B7" s="93">
        <v>1</v>
      </c>
      <c r="C7" s="7">
        <v>2</v>
      </c>
      <c r="D7" s="7">
        <v>3</v>
      </c>
      <c r="E7" s="7">
        <v>4</v>
      </c>
      <c r="F7" s="7">
        <v>5</v>
      </c>
      <c r="G7" s="7" t="s">
        <v>66</v>
      </c>
      <c r="H7" s="7">
        <v>7</v>
      </c>
      <c r="I7" s="19" t="s">
        <v>94</v>
      </c>
      <c r="J7" s="30" t="s">
        <v>67</v>
      </c>
      <c r="K7" s="19" t="s">
        <v>68</v>
      </c>
    </row>
    <row r="8" spans="1:14" ht="12.75">
      <c r="A8" s="8" t="s">
        <v>7</v>
      </c>
      <c r="B8" s="85">
        <f>SUM(MF:KFA!B8)+1</f>
        <v>6283643</v>
      </c>
      <c r="C8" s="85">
        <f>SUM(MF:KFA!C8)</f>
        <v>4547577</v>
      </c>
      <c r="D8" s="85">
        <f>SUM(MF:KFA!D8)</f>
        <v>4547577</v>
      </c>
      <c r="E8" s="98" t="s">
        <v>69</v>
      </c>
      <c r="F8" s="9">
        <f>SUM(F10:F28)</f>
        <v>11436</v>
      </c>
      <c r="G8" s="9">
        <f>D8+F8</f>
        <v>4559013</v>
      </c>
      <c r="H8" s="85">
        <f>SUM(MF:KFA!H8)</f>
        <v>5446033.026</v>
      </c>
      <c r="I8" s="175">
        <f aca="true" t="shared" si="0" ref="I8:I30">H8/D8*100</f>
        <v>119.75680732838607</v>
      </c>
      <c r="J8" s="31">
        <f>H8/G8*100</f>
        <v>119.45640484025817</v>
      </c>
      <c r="K8" s="53">
        <f>H8/B8*100</f>
        <v>86.66999423741927</v>
      </c>
      <c r="M8" s="22"/>
      <c r="N8" s="22"/>
    </row>
    <row r="9" spans="1:14" ht="12.75">
      <c r="A9" s="5" t="s">
        <v>8</v>
      </c>
      <c r="B9" s="86"/>
      <c r="C9" s="13"/>
      <c r="D9" s="13"/>
      <c r="E9" s="99"/>
      <c r="F9" s="13"/>
      <c r="G9" s="13"/>
      <c r="H9" s="13"/>
      <c r="I9" s="33"/>
      <c r="J9" s="33"/>
      <c r="K9" s="51"/>
      <c r="M9" s="77"/>
      <c r="N9" s="22"/>
    </row>
    <row r="10" spans="1:14" ht="12.75">
      <c r="A10" s="71" t="s">
        <v>58</v>
      </c>
      <c r="B10" s="94">
        <f>SUM(MF:KFA!B10)+1</f>
        <v>1494523</v>
      </c>
      <c r="C10" s="94">
        <f>SUM(MF:KFA!C10)</f>
        <v>1470034</v>
      </c>
      <c r="D10" s="94">
        <f>SUM(MF:KFA!D10)</f>
        <v>1470034</v>
      </c>
      <c r="E10" s="99" t="s">
        <v>69</v>
      </c>
      <c r="F10" s="72">
        <f>SUM(MF:KFA!F10)</f>
        <v>0</v>
      </c>
      <c r="G10" s="72">
        <f aca="true" t="shared" si="1" ref="G10:G28">D10+F10</f>
        <v>1470034</v>
      </c>
      <c r="H10" s="72">
        <f>SUM(MF:KFA!H10)-1</f>
        <v>1383568</v>
      </c>
      <c r="I10" s="73">
        <f t="shared" si="0"/>
        <v>94.11809522772943</v>
      </c>
      <c r="J10" s="73">
        <f aca="true" t="shared" si="2" ref="J10:J28">H10/G10*100</f>
        <v>94.11809522772943</v>
      </c>
      <c r="K10" s="74">
        <v>0</v>
      </c>
      <c r="M10" s="76"/>
      <c r="N10" s="22"/>
    </row>
    <row r="11" spans="1:14" ht="12.75">
      <c r="A11" s="71" t="s">
        <v>9</v>
      </c>
      <c r="B11" s="94">
        <f>SUM(MF:KFA!B11)</f>
        <v>589132</v>
      </c>
      <c r="C11" s="94">
        <f>SUM(MF:KFA!C11)</f>
        <v>600743</v>
      </c>
      <c r="D11" s="94">
        <f>SUM(MF:KFA!D11)</f>
        <v>600743</v>
      </c>
      <c r="E11" s="99" t="s">
        <v>69</v>
      </c>
      <c r="F11" s="72">
        <f>SUM(MF:KFA!F11)</f>
        <v>0</v>
      </c>
      <c r="G11" s="72">
        <f t="shared" si="1"/>
        <v>600743</v>
      </c>
      <c r="H11" s="72">
        <f>SUM(MF:KFA!H11)</f>
        <v>541314</v>
      </c>
      <c r="I11" s="73">
        <f t="shared" si="0"/>
        <v>90.10741698197066</v>
      </c>
      <c r="J11" s="73">
        <f t="shared" si="2"/>
        <v>90.10741698197066</v>
      </c>
      <c r="K11" s="74">
        <f>H11/B11*100</f>
        <v>91.8833130775446</v>
      </c>
      <c r="L11" s="39"/>
      <c r="M11" s="22"/>
      <c r="N11" s="22"/>
    </row>
    <row r="12" spans="1:14" ht="12.75">
      <c r="A12" s="71" t="s">
        <v>10</v>
      </c>
      <c r="B12" s="94">
        <f>SUM(MF:KFA!B12)</f>
        <v>523676</v>
      </c>
      <c r="C12" s="94">
        <f>SUM(MF:KFA!C12)</f>
        <v>533994</v>
      </c>
      <c r="D12" s="94">
        <f>SUM(MF:KFA!D12)</f>
        <v>533994</v>
      </c>
      <c r="E12" s="99" t="s">
        <v>69</v>
      </c>
      <c r="F12" s="72">
        <f>SUM(MF:KFA!F12)</f>
        <v>0</v>
      </c>
      <c r="G12" s="72">
        <f t="shared" si="1"/>
        <v>533994</v>
      </c>
      <c r="H12" s="72">
        <f>SUM(MF:KFA!H12)</f>
        <v>481171</v>
      </c>
      <c r="I12" s="73">
        <f t="shared" si="0"/>
        <v>90.10794128772982</v>
      </c>
      <c r="J12" s="73">
        <f t="shared" si="2"/>
        <v>90.10794128772982</v>
      </c>
      <c r="K12" s="74">
        <f aca="true" t="shared" si="3" ref="K12:K28">H12/B12*100</f>
        <v>91.88334008050779</v>
      </c>
      <c r="M12" s="22"/>
      <c r="N12" s="22"/>
    </row>
    <row r="13" spans="1:14" ht="12.75">
      <c r="A13" s="10" t="s">
        <v>11</v>
      </c>
      <c r="B13" s="94">
        <f>SUM(MF:KFA!B13)</f>
        <v>55374</v>
      </c>
      <c r="C13" s="94">
        <f>SUM(MF:KFA!C13)</f>
        <v>56531</v>
      </c>
      <c r="D13" s="94">
        <f>SUM(MF:KFA!D13)</f>
        <v>57497</v>
      </c>
      <c r="E13" s="99" t="s">
        <v>69</v>
      </c>
      <c r="F13" s="72">
        <f>SUM(MF:KFA!F13)</f>
        <v>0</v>
      </c>
      <c r="G13" s="11">
        <f t="shared" si="1"/>
        <v>57497</v>
      </c>
      <c r="H13" s="72">
        <f>SUM(MF:KFA!H13)</f>
        <v>64870</v>
      </c>
      <c r="I13" s="32">
        <f t="shared" si="0"/>
        <v>112.82327773622971</v>
      </c>
      <c r="J13" s="32">
        <f t="shared" si="2"/>
        <v>112.82327773622971</v>
      </c>
      <c r="K13" s="50">
        <f t="shared" si="3"/>
        <v>117.14884241701881</v>
      </c>
      <c r="M13" s="77"/>
      <c r="N13" s="78"/>
    </row>
    <row r="14" spans="1:14" ht="12.75">
      <c r="A14" s="56" t="s">
        <v>54</v>
      </c>
      <c r="B14" s="94">
        <f>SUM(MF:KFA!B14)</f>
        <v>1126</v>
      </c>
      <c r="C14" s="94">
        <f>SUM(MF:KFA!C14)</f>
        <v>0</v>
      </c>
      <c r="D14" s="94">
        <f>SUM(MF:KFA!D14)</f>
        <v>0</v>
      </c>
      <c r="E14" s="99" t="s">
        <v>69</v>
      </c>
      <c r="F14" s="72">
        <f>SUM(MF:KFA!F14)</f>
        <v>0</v>
      </c>
      <c r="G14" s="11">
        <f t="shared" si="1"/>
        <v>0</v>
      </c>
      <c r="H14" s="72">
        <f>SUM(MF:KFA!H14)</f>
        <v>99</v>
      </c>
      <c r="I14" s="32"/>
      <c r="J14" s="32"/>
      <c r="K14" s="50"/>
      <c r="M14" s="22"/>
      <c r="N14" s="22"/>
    </row>
    <row r="15" spans="1:14" ht="12.75">
      <c r="A15" s="10" t="s">
        <v>12</v>
      </c>
      <c r="B15" s="94">
        <f>SUM(MF:KFA!B15)</f>
        <v>257911</v>
      </c>
      <c r="C15" s="94">
        <f>SUM(MF:KFA!C15)</f>
        <v>148242</v>
      </c>
      <c r="D15" s="94">
        <f>SUM(MF:KFA!D15)</f>
        <v>117994</v>
      </c>
      <c r="E15" s="99" t="s">
        <v>69</v>
      </c>
      <c r="F15" s="72">
        <f>SUM(MF:KFA!F15)</f>
        <v>0</v>
      </c>
      <c r="G15" s="11">
        <f t="shared" si="1"/>
        <v>117994</v>
      </c>
      <c r="H15" s="72">
        <f>SUM(MF:KFA!H15)</f>
        <v>229447</v>
      </c>
      <c r="I15" s="32">
        <f t="shared" si="0"/>
        <v>194.4564977880231</v>
      </c>
      <c r="J15" s="32">
        <f t="shared" si="2"/>
        <v>194.4564977880231</v>
      </c>
      <c r="K15" s="50">
        <f t="shared" si="3"/>
        <v>88.96363474221728</v>
      </c>
      <c r="M15" s="78"/>
      <c r="N15" s="78"/>
    </row>
    <row r="16" spans="1:14" ht="12.75">
      <c r="A16" s="10" t="s">
        <v>13</v>
      </c>
      <c r="B16" s="94">
        <f>SUM(MF:KFA!B16)</f>
        <v>80372</v>
      </c>
      <c r="C16" s="94">
        <f>SUM(MF:KFA!C16)</f>
        <v>56220</v>
      </c>
      <c r="D16" s="94">
        <f>SUM(MF:KFA!D16)</f>
        <v>56235</v>
      </c>
      <c r="E16" s="99" t="s">
        <v>69</v>
      </c>
      <c r="F16" s="72">
        <f>SUM(MF:KFA!F16)</f>
        <v>0</v>
      </c>
      <c r="G16" s="11">
        <f t="shared" si="1"/>
        <v>56235</v>
      </c>
      <c r="H16" s="72">
        <f>SUM(MF:KFA!H16)</f>
        <v>55266.026</v>
      </c>
      <c r="I16" s="32">
        <f t="shared" si="0"/>
        <v>98.27692006757357</v>
      </c>
      <c r="J16" s="32">
        <f t="shared" si="2"/>
        <v>98.27692006757357</v>
      </c>
      <c r="K16" s="50">
        <f t="shared" si="3"/>
        <v>68.7627855472055</v>
      </c>
      <c r="M16" s="78"/>
      <c r="N16" s="78"/>
    </row>
    <row r="17" spans="1:14" ht="12.75">
      <c r="A17" s="10" t="s">
        <v>14</v>
      </c>
      <c r="B17" s="94">
        <f>SUM(MF:KFA!B17)</f>
        <v>1428426</v>
      </c>
      <c r="C17" s="94">
        <f>SUM(MF:KFA!C17)</f>
        <v>880000</v>
      </c>
      <c r="D17" s="94">
        <f>SUM(MF:KFA!D17)</f>
        <v>881710</v>
      </c>
      <c r="E17" s="99" t="s">
        <v>69</v>
      </c>
      <c r="F17" s="72">
        <f>SUM(MF:KFA!F17)</f>
        <v>0</v>
      </c>
      <c r="G17" s="11">
        <f t="shared" si="1"/>
        <v>881710</v>
      </c>
      <c r="H17" s="72">
        <f>SUM(MF:KFA!H17)-1</f>
        <v>1208665</v>
      </c>
      <c r="I17" s="32">
        <f t="shared" si="0"/>
        <v>137.0819203593018</v>
      </c>
      <c r="J17" s="32">
        <f t="shared" si="2"/>
        <v>137.0819203593018</v>
      </c>
      <c r="K17" s="50">
        <f t="shared" si="3"/>
        <v>84.61516382367725</v>
      </c>
      <c r="M17" s="78"/>
      <c r="N17" s="78"/>
    </row>
    <row r="18" spans="1:14" ht="12.75">
      <c r="A18" s="10" t="s">
        <v>15</v>
      </c>
      <c r="B18" s="94">
        <f>SUM(MF:KFA!B18)</f>
        <v>3568</v>
      </c>
      <c r="C18" s="94">
        <f>SUM(MF:KFA!C18)</f>
        <v>1664</v>
      </c>
      <c r="D18" s="94">
        <f>SUM(MF:KFA!D18)</f>
        <v>439</v>
      </c>
      <c r="E18" s="99" t="s">
        <v>69</v>
      </c>
      <c r="F18" s="72">
        <f>SUM(MF:KFA!F18)</f>
        <v>0</v>
      </c>
      <c r="G18" s="11">
        <f t="shared" si="1"/>
        <v>439</v>
      </c>
      <c r="H18" s="72">
        <f>SUM(MF:KFA!H18)</f>
        <v>2854</v>
      </c>
      <c r="I18" s="32">
        <f t="shared" si="0"/>
        <v>650.1138952164009</v>
      </c>
      <c r="J18" s="32">
        <f t="shared" si="2"/>
        <v>650.1138952164009</v>
      </c>
      <c r="K18" s="50">
        <f t="shared" si="3"/>
        <v>79.98878923766816</v>
      </c>
      <c r="M18" s="78"/>
      <c r="N18" s="78"/>
    </row>
    <row r="19" spans="1:14" ht="12.75">
      <c r="A19" s="10" t="s">
        <v>16</v>
      </c>
      <c r="B19" s="94">
        <f>SUM(MF:KFA!B19)</f>
        <v>163448</v>
      </c>
      <c r="C19" s="94">
        <f>SUM(MF:KFA!C19)</f>
        <v>93926</v>
      </c>
      <c r="D19" s="94">
        <f>SUM(MF:KFA!D19)</f>
        <v>43244</v>
      </c>
      <c r="E19" s="99" t="s">
        <v>69</v>
      </c>
      <c r="F19" s="72">
        <f>SUM(MF:KFA!F19)</f>
        <v>1708</v>
      </c>
      <c r="G19" s="11">
        <f t="shared" si="1"/>
        <v>44952</v>
      </c>
      <c r="H19" s="94">
        <f>SUM(MF:KFA!H19)+1</f>
        <v>249880</v>
      </c>
      <c r="I19" s="126">
        <f t="shared" si="0"/>
        <v>577.8373878457127</v>
      </c>
      <c r="J19" s="32">
        <f t="shared" si="2"/>
        <v>555.8818295070298</v>
      </c>
      <c r="K19" s="50">
        <f t="shared" si="3"/>
        <v>152.8804268024081</v>
      </c>
      <c r="M19" s="78"/>
      <c r="N19" s="78"/>
    </row>
    <row r="20" spans="1:14" ht="12.75">
      <c r="A20" s="10" t="s">
        <v>59</v>
      </c>
      <c r="B20" s="94">
        <f>SUM(MF:KFA!B20)</f>
        <v>9481</v>
      </c>
      <c r="C20" s="94">
        <f>SUM(MF:KFA!C20)</f>
        <v>7400</v>
      </c>
      <c r="D20" s="94">
        <f>SUM(MF:KFA!D20)</f>
        <v>7400</v>
      </c>
      <c r="E20" s="99" t="s">
        <v>69</v>
      </c>
      <c r="F20" s="72">
        <f>SUM(MF:KFA!F20)</f>
        <v>0</v>
      </c>
      <c r="G20" s="11">
        <f t="shared" si="1"/>
        <v>7400</v>
      </c>
      <c r="H20" s="72">
        <f>SUM(MF:KFA!H20)</f>
        <v>8590</v>
      </c>
      <c r="I20" s="32">
        <f t="shared" si="0"/>
        <v>116.08108108108108</v>
      </c>
      <c r="J20" s="32">
        <f t="shared" si="2"/>
        <v>116.08108108108108</v>
      </c>
      <c r="K20" s="50">
        <f t="shared" si="3"/>
        <v>90.6022571458707</v>
      </c>
      <c r="M20" s="78"/>
      <c r="N20" s="78"/>
    </row>
    <row r="21" spans="1:14" ht="12.75">
      <c r="A21" s="57" t="s">
        <v>55</v>
      </c>
      <c r="B21" s="94">
        <f>SUM(MF:KFA!B21)</f>
        <v>758757</v>
      </c>
      <c r="C21" s="94">
        <f>SUM(MF:KFA!C21)</f>
        <v>338766</v>
      </c>
      <c r="D21" s="94">
        <f>SUM(MF:KFA!D21)</f>
        <v>338766</v>
      </c>
      <c r="E21" s="99" t="s">
        <v>69</v>
      </c>
      <c r="F21" s="72">
        <f>SUM(MF:KFA!F21)</f>
        <v>0</v>
      </c>
      <c r="G21" s="11">
        <f t="shared" si="1"/>
        <v>338766</v>
      </c>
      <c r="H21" s="72">
        <f>SUM(MF:KFA!H21)</f>
        <v>513441</v>
      </c>
      <c r="I21" s="32">
        <f t="shared" si="0"/>
        <v>151.56214023839465</v>
      </c>
      <c r="J21" s="32">
        <f t="shared" si="2"/>
        <v>151.56214023839465</v>
      </c>
      <c r="K21" s="50">
        <f t="shared" si="3"/>
        <v>67.66870025581314</v>
      </c>
      <c r="M21" s="22"/>
      <c r="N21" s="22"/>
    </row>
    <row r="22" spans="1:14" ht="12.75">
      <c r="A22" s="10" t="s">
        <v>17</v>
      </c>
      <c r="B22" s="94">
        <f>SUM(MF:KFA!B22)</f>
        <v>1242183</v>
      </c>
      <c r="C22" s="94">
        <f>SUM(MF:KFA!C22)</f>
        <v>415915</v>
      </c>
      <c r="D22" s="94">
        <f>SUM(MF:KFA!D22)</f>
        <v>505279</v>
      </c>
      <c r="E22" s="99" t="s">
        <v>69</v>
      </c>
      <c r="F22" s="72">
        <f>SUM(MF:KFA!F22)</f>
        <v>0</v>
      </c>
      <c r="G22" s="11">
        <f t="shared" si="1"/>
        <v>505279</v>
      </c>
      <c r="H22" s="72">
        <f>SUM(MF:KFA!H22)</f>
        <v>914856</v>
      </c>
      <c r="I22" s="32">
        <f t="shared" si="0"/>
        <v>181.05957302797069</v>
      </c>
      <c r="J22" s="32">
        <f t="shared" si="2"/>
        <v>181.05957302797069</v>
      </c>
      <c r="K22" s="50">
        <f t="shared" si="3"/>
        <v>73.64905170977222</v>
      </c>
      <c r="M22" s="78"/>
      <c r="N22" s="78"/>
    </row>
    <row r="23" spans="1:14" ht="12.75">
      <c r="A23" s="57" t="s">
        <v>56</v>
      </c>
      <c r="B23" s="94">
        <f>SUM(MF:KFA!B23)</f>
        <v>29085</v>
      </c>
      <c r="C23" s="94">
        <f>SUM(MF:KFA!C23)</f>
        <v>1000</v>
      </c>
      <c r="D23" s="94">
        <f>SUM(MF:KFA!D23)</f>
        <v>1900</v>
      </c>
      <c r="E23" s="99" t="s">
        <v>69</v>
      </c>
      <c r="F23" s="72">
        <f>SUM(MF:KFA!F23)</f>
        <v>0</v>
      </c>
      <c r="G23" s="11">
        <f t="shared" si="1"/>
        <v>1900</v>
      </c>
      <c r="H23" s="72">
        <f>SUM(MF:KFA!H23)</f>
        <v>53501</v>
      </c>
      <c r="I23" s="32">
        <f t="shared" si="0"/>
        <v>2815.842105263158</v>
      </c>
      <c r="J23" s="32">
        <f t="shared" si="2"/>
        <v>2815.842105263158</v>
      </c>
      <c r="K23" s="50">
        <f t="shared" si="3"/>
        <v>183.94705174488567</v>
      </c>
      <c r="M23" s="22"/>
      <c r="N23" s="22"/>
    </row>
    <row r="24" spans="1:14" ht="12.75" customHeight="1">
      <c r="A24" s="10" t="s">
        <v>18</v>
      </c>
      <c r="B24" s="94">
        <f>SUM(MF:KFA!B24)</f>
        <v>0</v>
      </c>
      <c r="C24" s="94">
        <f>SUM(MF:KFA!C24)</f>
        <v>10800</v>
      </c>
      <c r="D24" s="94">
        <f>SUM(MF:KFA!D24)</f>
        <v>0</v>
      </c>
      <c r="E24" s="99" t="s">
        <v>69</v>
      </c>
      <c r="F24" s="72">
        <f>SUM(MF:KFA!F24)</f>
        <v>0</v>
      </c>
      <c r="G24" s="11">
        <f t="shared" si="1"/>
        <v>0</v>
      </c>
      <c r="H24" s="72">
        <f>SUM(MF:KFA!H24)</f>
        <v>5</v>
      </c>
      <c r="I24" s="32"/>
      <c r="J24" s="32"/>
      <c r="K24" s="50"/>
      <c r="M24" s="22"/>
      <c r="N24" s="78"/>
    </row>
    <row r="25" spans="1:14" ht="12.75" customHeight="1">
      <c r="A25" s="10" t="s">
        <v>87</v>
      </c>
      <c r="B25" s="94">
        <f>SUM(MF:KFA!B25)</f>
        <v>78151</v>
      </c>
      <c r="C25" s="94">
        <f>SUM(MF:KFA!C25)</f>
        <v>150717</v>
      </c>
      <c r="D25" s="94">
        <f>SUM(MF:KFA!D25)</f>
        <v>153300</v>
      </c>
      <c r="E25" s="99" t="s">
        <v>69</v>
      </c>
      <c r="F25" s="72">
        <f>SUM(MF:KFA!F25)</f>
        <v>0</v>
      </c>
      <c r="G25" s="11">
        <f t="shared" si="1"/>
        <v>153300</v>
      </c>
      <c r="H25" s="72">
        <f>SUM(MF:KFA!H25)</f>
        <v>43157</v>
      </c>
      <c r="I25" s="32">
        <f t="shared" si="0"/>
        <v>28.151989562948465</v>
      </c>
      <c r="J25" s="32">
        <f t="shared" si="2"/>
        <v>28.151989562948465</v>
      </c>
      <c r="K25" s="50">
        <f t="shared" si="3"/>
        <v>55.22258192473545</v>
      </c>
      <c r="M25" s="22"/>
      <c r="N25" s="78"/>
    </row>
    <row r="26" spans="1:14" ht="12.75" customHeight="1">
      <c r="A26" s="10" t="s">
        <v>57</v>
      </c>
      <c r="B26" s="94">
        <f>SUM(MF:KFA!B26)</f>
        <v>59597</v>
      </c>
      <c r="C26" s="94">
        <f>SUM(MF:KFA!C26)</f>
        <v>58010</v>
      </c>
      <c r="D26" s="94">
        <f>SUM(MF:KFA!D26)</f>
        <v>58010</v>
      </c>
      <c r="E26" s="99" t="s">
        <v>69</v>
      </c>
      <c r="F26" s="72">
        <f>SUM(MF:KFA!F26)</f>
        <v>0</v>
      </c>
      <c r="G26" s="11">
        <f t="shared" si="1"/>
        <v>58010</v>
      </c>
      <c r="H26" s="72">
        <f>SUM(MF:KFA!H26)</f>
        <v>58263</v>
      </c>
      <c r="I26" s="32">
        <f t="shared" si="0"/>
        <v>100.4361317014308</v>
      </c>
      <c r="J26" s="32">
        <f t="shared" si="2"/>
        <v>100.4361317014308</v>
      </c>
      <c r="K26" s="50">
        <f t="shared" si="3"/>
        <v>97.7616322969277</v>
      </c>
      <c r="M26" s="22"/>
      <c r="N26" s="78"/>
    </row>
    <row r="27" spans="1:14" ht="12.75" customHeight="1">
      <c r="A27" s="71" t="s">
        <v>88</v>
      </c>
      <c r="B27" s="94">
        <f>SUM(MF:KFA!B27)</f>
        <v>899</v>
      </c>
      <c r="C27" s="94">
        <f>SUM(MF:KFA!C27)</f>
        <v>257609</v>
      </c>
      <c r="D27" s="94">
        <f>SUM(MF:KFA!D27)</f>
        <v>255026</v>
      </c>
      <c r="E27" s="99" t="s">
        <v>69</v>
      </c>
      <c r="F27" s="72">
        <f>SUM(MF:KFA!F27)</f>
        <v>0</v>
      </c>
      <c r="G27" s="72">
        <f t="shared" si="1"/>
        <v>255026</v>
      </c>
      <c r="H27" s="72">
        <f>SUM(MF:KFA!H27)</f>
        <v>98263</v>
      </c>
      <c r="I27" s="73">
        <f t="shared" si="0"/>
        <v>38.530581195642796</v>
      </c>
      <c r="J27" s="73">
        <f t="shared" si="2"/>
        <v>38.530581195642796</v>
      </c>
      <c r="K27" s="74"/>
      <c r="M27" s="22"/>
      <c r="N27" s="78"/>
    </row>
    <row r="28" spans="1:14" ht="13.5" thickBot="1">
      <c r="A28" s="42" t="s">
        <v>19</v>
      </c>
      <c r="B28" s="111">
        <f>SUM(MF:KFA!B28)</f>
        <v>31610</v>
      </c>
      <c r="C28" s="89">
        <f>SUM(MF:KFA!C28)</f>
        <v>0</v>
      </c>
      <c r="D28" s="89">
        <f>SUM(MF:KFA!D28)</f>
        <v>0</v>
      </c>
      <c r="E28" s="30" t="s">
        <v>69</v>
      </c>
      <c r="F28" s="102">
        <f>SUM(MF:KFA!F28)</f>
        <v>9728</v>
      </c>
      <c r="G28" s="12">
        <f t="shared" si="1"/>
        <v>9728</v>
      </c>
      <c r="H28" s="102">
        <f>SUM(MF:KFA!H28)+1</f>
        <v>19994</v>
      </c>
      <c r="I28" s="63"/>
      <c r="J28" s="63">
        <f t="shared" si="2"/>
        <v>205.53042763157893</v>
      </c>
      <c r="K28" s="61">
        <f t="shared" si="3"/>
        <v>63.252135400189815</v>
      </c>
      <c r="M28" s="22"/>
      <c r="N28" s="78"/>
    </row>
    <row r="29" spans="1:14" ht="12.75">
      <c r="A29" s="5"/>
      <c r="B29" s="83"/>
      <c r="C29" s="13"/>
      <c r="D29" s="13"/>
      <c r="E29" s="13"/>
      <c r="F29" s="13"/>
      <c r="G29" s="13"/>
      <c r="H29" s="13"/>
      <c r="I29" s="33"/>
      <c r="J29" s="33"/>
      <c r="K29" s="51"/>
      <c r="M29" s="22"/>
      <c r="N29" s="22"/>
    </row>
    <row r="30" spans="1:14" ht="12.75">
      <c r="A30" s="8" t="s">
        <v>20</v>
      </c>
      <c r="B30" s="85">
        <f>SUM(MF:KFA!B30)</f>
        <v>16712959</v>
      </c>
      <c r="C30" s="85">
        <f>SUM(MF:KFA!C30)</f>
        <v>15188284</v>
      </c>
      <c r="D30" s="85">
        <f>SUM(MF:KFA!D30)</f>
        <v>17324401</v>
      </c>
      <c r="E30" s="85">
        <f>SUM(MF:KFA!E30)-1</f>
        <v>864426</v>
      </c>
      <c r="F30" s="85">
        <f>SUM(MF:KFA!F30)</f>
        <v>11436</v>
      </c>
      <c r="G30" s="85">
        <f aca="true" t="shared" si="4" ref="G30:G58">D30+E30+F30</f>
        <v>18200263</v>
      </c>
      <c r="H30" s="85">
        <f>H32+H38</f>
        <v>16495473</v>
      </c>
      <c r="I30" s="175">
        <f t="shared" si="0"/>
        <v>95.21525737022596</v>
      </c>
      <c r="J30" s="31">
        <f>H30/G30*100</f>
        <v>90.63315733404512</v>
      </c>
      <c r="K30" s="49">
        <f>H30/B30*100</f>
        <v>98.6986984171983</v>
      </c>
      <c r="M30" s="22"/>
      <c r="N30" s="22"/>
    </row>
    <row r="31" spans="1:14" ht="12.75">
      <c r="A31" s="5" t="s">
        <v>21</v>
      </c>
      <c r="B31" s="86"/>
      <c r="C31" s="13"/>
      <c r="D31" s="13"/>
      <c r="E31" s="13"/>
      <c r="F31" s="13"/>
      <c r="G31" s="13"/>
      <c r="H31" s="103"/>
      <c r="I31" s="198"/>
      <c r="J31" s="33"/>
      <c r="K31" s="51"/>
      <c r="M31" s="22"/>
      <c r="N31" s="22"/>
    </row>
    <row r="32" spans="1:14" ht="12.75">
      <c r="A32" s="79" t="s">
        <v>22</v>
      </c>
      <c r="B32" s="87">
        <f>SUM(MF:KFA!B32)</f>
        <v>1400364</v>
      </c>
      <c r="C32" s="87">
        <f>SUM(MF:KFA!C32)</f>
        <v>808196</v>
      </c>
      <c r="D32" s="87">
        <f>SUM(MF:KFA!D32)</f>
        <v>1837286</v>
      </c>
      <c r="E32" s="87">
        <f>SUM(MF:KFA!E32)</f>
        <v>467415</v>
      </c>
      <c r="F32" s="87">
        <f>SUM(MF:KFA!F32)</f>
        <v>1604</v>
      </c>
      <c r="G32" s="80">
        <f t="shared" si="4"/>
        <v>2306305</v>
      </c>
      <c r="H32" s="80">
        <f>H34+H35+H36</f>
        <v>1743101</v>
      </c>
      <c r="I32" s="81">
        <f>H32/D32*100</f>
        <v>94.87368869081895</v>
      </c>
      <c r="J32" s="81">
        <f>H32/G32*100</f>
        <v>75.5798127307533</v>
      </c>
      <c r="K32" s="82">
        <f>H32/B32*100</f>
        <v>124.47485082449991</v>
      </c>
      <c r="M32" s="78"/>
      <c r="N32" s="78"/>
    </row>
    <row r="33" spans="1:14" ht="12.75">
      <c r="A33" s="10" t="s">
        <v>23</v>
      </c>
      <c r="B33" s="112"/>
      <c r="C33" s="112"/>
      <c r="D33" s="112"/>
      <c r="E33" s="112"/>
      <c r="F33" s="112"/>
      <c r="G33" s="11"/>
      <c r="H33" s="11"/>
      <c r="I33" s="32"/>
      <c r="J33" s="32"/>
      <c r="K33" s="50"/>
      <c r="M33" s="22"/>
      <c r="N33" s="22"/>
    </row>
    <row r="34" spans="1:14" ht="12.75">
      <c r="A34" s="10" t="s">
        <v>24</v>
      </c>
      <c r="B34" s="112">
        <f>SUM(MF:KFA!B34)</f>
        <v>945159</v>
      </c>
      <c r="C34" s="112">
        <f>SUM(MF:KFA!C34)</f>
        <v>626956</v>
      </c>
      <c r="D34" s="112">
        <f>SUM(MF:KFA!D34)</f>
        <v>1329007</v>
      </c>
      <c r="E34" s="112">
        <f>SUM(MF:KFA!E34)</f>
        <v>410609</v>
      </c>
      <c r="F34" s="112">
        <f>SUM(MF:KFA!F34)</f>
        <v>0</v>
      </c>
      <c r="G34" s="11">
        <f t="shared" si="4"/>
        <v>1739616</v>
      </c>
      <c r="H34" s="11">
        <f>SUM(MF:KFA!H34)</f>
        <v>1285140</v>
      </c>
      <c r="I34" s="32">
        <f aca="true" t="shared" si="5" ref="I34:I60">H34/D34*100</f>
        <v>96.69926493991379</v>
      </c>
      <c r="J34" s="32">
        <f>H34/G34*100</f>
        <v>73.87492412118537</v>
      </c>
      <c r="K34" s="50">
        <f>H34/B34*100</f>
        <v>135.97077317149814</v>
      </c>
      <c r="M34" s="78"/>
      <c r="N34" s="78"/>
    </row>
    <row r="35" spans="1:15" ht="12.75">
      <c r="A35" s="10" t="s">
        <v>25</v>
      </c>
      <c r="B35" s="112">
        <f>SUM(MF:KFA!B35)</f>
        <v>453309</v>
      </c>
      <c r="C35" s="112">
        <f>SUM(MF:KFA!C35)</f>
        <v>181240</v>
      </c>
      <c r="D35" s="112">
        <f>SUM(MF:KFA!D35)</f>
        <v>508279</v>
      </c>
      <c r="E35" s="112">
        <f>SUM(MF:KFA!E35)</f>
        <v>56806</v>
      </c>
      <c r="F35" s="112">
        <f>SUM(MF:KFA!F35)</f>
        <v>1604</v>
      </c>
      <c r="G35" s="11">
        <f t="shared" si="4"/>
        <v>566689</v>
      </c>
      <c r="H35" s="11">
        <f>SUM(MF:KFA!H35)</f>
        <v>457961</v>
      </c>
      <c r="I35" s="32">
        <f t="shared" si="5"/>
        <v>90.10031891933367</v>
      </c>
      <c r="J35" s="32">
        <f>H35/G35*100</f>
        <v>80.81346205767184</v>
      </c>
      <c r="K35" s="50">
        <f>H35/B35*100</f>
        <v>101.02623155507611</v>
      </c>
      <c r="M35" s="78"/>
      <c r="N35" s="78"/>
      <c r="O35" s="22"/>
    </row>
    <row r="36" spans="1:15" ht="12.75">
      <c r="A36" s="14" t="s">
        <v>26</v>
      </c>
      <c r="B36" s="113">
        <f>SUM(MF:KFA!B36)</f>
        <v>1896</v>
      </c>
      <c r="C36" s="114">
        <f>SUM(MF:KFA!C36)</f>
        <v>0</v>
      </c>
      <c r="D36" s="114">
        <f>SUM(MF:KFA!D36)</f>
        <v>0</v>
      </c>
      <c r="E36" s="114">
        <f>SUM(MF:KFA!E36)</f>
        <v>0</v>
      </c>
      <c r="F36" s="114">
        <f>SUM(MF:KFA!F36)</f>
        <v>0</v>
      </c>
      <c r="G36" s="15">
        <f t="shared" si="4"/>
        <v>0</v>
      </c>
      <c r="H36" s="115">
        <f>SUM(MF:KFA!H36)</f>
        <v>0</v>
      </c>
      <c r="I36" s="34"/>
      <c r="J36" s="34"/>
      <c r="K36" s="49">
        <f>H36/B36*100</f>
        <v>0</v>
      </c>
      <c r="M36" s="78"/>
      <c r="N36" s="78"/>
      <c r="O36" s="22"/>
    </row>
    <row r="37" spans="1:15" ht="12.75">
      <c r="A37" s="5"/>
      <c r="B37" s="86"/>
      <c r="C37" s="13"/>
      <c r="D37" s="13"/>
      <c r="E37" s="13"/>
      <c r="F37" s="13"/>
      <c r="G37" s="13"/>
      <c r="H37" s="13"/>
      <c r="I37" s="33"/>
      <c r="J37" s="33"/>
      <c r="K37" s="51"/>
      <c r="M37" s="78"/>
      <c r="N37" s="78"/>
      <c r="O37" s="22"/>
    </row>
    <row r="38" spans="1:15" ht="12.75">
      <c r="A38" s="79" t="s">
        <v>27</v>
      </c>
      <c r="B38" s="87">
        <f>B40+B43+B44+B45+B46</f>
        <v>15312595</v>
      </c>
      <c r="C38" s="87">
        <f>C40+C43+C44+C45+C46</f>
        <v>14380088</v>
      </c>
      <c r="D38" s="87">
        <f>D40+D43+D44+D45+D46</f>
        <v>15487115</v>
      </c>
      <c r="E38" s="87">
        <f>E40+E43+E44+E45+E46</f>
        <v>397011</v>
      </c>
      <c r="F38" s="87">
        <f>F40+F43+F44+F45+F46</f>
        <v>9832</v>
      </c>
      <c r="G38" s="87">
        <f t="shared" si="4"/>
        <v>15893958</v>
      </c>
      <c r="H38" s="87">
        <f>H40+H43+H44+H45+H46</f>
        <v>14752372</v>
      </c>
      <c r="I38" s="199">
        <f t="shared" si="5"/>
        <v>95.25577875543637</v>
      </c>
      <c r="J38" s="81">
        <f>H38/G38*100</f>
        <v>92.8174844805806</v>
      </c>
      <c r="K38" s="82">
        <f>H38/B38*100</f>
        <v>96.34142351443371</v>
      </c>
      <c r="L38" s="39"/>
      <c r="M38" s="78"/>
      <c r="N38" s="78"/>
      <c r="O38" s="22"/>
    </row>
    <row r="39" spans="1:15" ht="12.75">
      <c r="A39" s="10" t="s">
        <v>23</v>
      </c>
      <c r="B39" s="58"/>
      <c r="C39" s="11"/>
      <c r="D39" s="11"/>
      <c r="E39" s="11"/>
      <c r="F39" s="11"/>
      <c r="G39" s="11"/>
      <c r="H39" s="104"/>
      <c r="I39" s="200"/>
      <c r="J39" s="32"/>
      <c r="K39" s="50"/>
      <c r="M39" s="78"/>
      <c r="N39" s="78"/>
      <c r="O39" s="22"/>
    </row>
    <row r="40" spans="1:15" ht="12.75">
      <c r="A40" s="16" t="s">
        <v>28</v>
      </c>
      <c r="B40" s="88">
        <f>SUM(MF:KFA!B40)</f>
        <v>8196246</v>
      </c>
      <c r="C40" s="88">
        <f>SUM(MF:KFA!C40)</f>
        <v>7523575</v>
      </c>
      <c r="D40" s="88">
        <f>SUM(MF:KFA!D40)</f>
        <v>7648583</v>
      </c>
      <c r="E40" s="88">
        <f>SUM(MF:KFA!E40)</f>
        <v>18661</v>
      </c>
      <c r="F40" s="88">
        <f>SUM(MF:KFA!F40)</f>
        <v>390</v>
      </c>
      <c r="G40" s="17">
        <f t="shared" si="4"/>
        <v>7667634</v>
      </c>
      <c r="H40" s="17">
        <f>SUM(MF:KFA!H40)</f>
        <v>7627157</v>
      </c>
      <c r="I40" s="35">
        <f t="shared" si="5"/>
        <v>99.71986968043623</v>
      </c>
      <c r="J40" s="35">
        <f aca="true" t="shared" si="6" ref="J40:J46">H40/G40*100</f>
        <v>99.47210573691963</v>
      </c>
      <c r="K40" s="50">
        <f aca="true" t="shared" si="7" ref="K40:K46">H40/B40*100</f>
        <v>93.05671157259067</v>
      </c>
      <c r="M40" s="78"/>
      <c r="N40" s="78"/>
      <c r="O40" s="22"/>
    </row>
    <row r="41" spans="1:15" ht="12.75">
      <c r="A41" s="10" t="s">
        <v>29</v>
      </c>
      <c r="B41" s="116">
        <f>SUM(MF:KFA!B41)</f>
        <v>8131438</v>
      </c>
      <c r="C41" s="116">
        <f>SUM(MF:KFA!C41)</f>
        <v>7468528</v>
      </c>
      <c r="D41" s="116">
        <f>SUM(MF:KFA!D41)</f>
        <v>7582538</v>
      </c>
      <c r="E41" s="116">
        <f>SUM(MF:KFA!E41)</f>
        <v>16492</v>
      </c>
      <c r="F41" s="116">
        <f>SUM(MF:KFA!F41)</f>
        <v>387</v>
      </c>
      <c r="G41" s="11">
        <f t="shared" si="4"/>
        <v>7599417</v>
      </c>
      <c r="H41" s="69">
        <f>SUM(MF:KFA!H41)</f>
        <v>7578194</v>
      </c>
      <c r="I41" s="60">
        <f t="shared" si="5"/>
        <v>99.94271047504148</v>
      </c>
      <c r="J41" s="32">
        <f t="shared" si="6"/>
        <v>99.72072857694215</v>
      </c>
      <c r="K41" s="50">
        <f t="shared" si="7"/>
        <v>93.19623417161884</v>
      </c>
      <c r="M41" s="78"/>
      <c r="N41" s="78"/>
      <c r="O41" s="22"/>
    </row>
    <row r="42" spans="1:15" ht="12.75">
      <c r="A42" s="44" t="s">
        <v>30</v>
      </c>
      <c r="B42" s="116">
        <f>SUM(MF:KFA!B42)</f>
        <v>64808</v>
      </c>
      <c r="C42" s="116">
        <f>SUM(MF:KFA!C42)</f>
        <v>55047</v>
      </c>
      <c r="D42" s="116">
        <f>SUM(MF:KFA!D42)</f>
        <v>66045</v>
      </c>
      <c r="E42" s="116">
        <f>SUM(MF:KFA!E42)</f>
        <v>2169</v>
      </c>
      <c r="F42" s="116">
        <f>SUM(MF:KFA!F42)</f>
        <v>3</v>
      </c>
      <c r="G42" s="11">
        <f t="shared" si="4"/>
        <v>68217</v>
      </c>
      <c r="H42" s="69">
        <f>SUM(MF:KFA!H42)</f>
        <v>48963</v>
      </c>
      <c r="I42" s="60">
        <f t="shared" si="5"/>
        <v>74.13581648875767</v>
      </c>
      <c r="J42" s="32">
        <f t="shared" si="6"/>
        <v>71.7753639122213</v>
      </c>
      <c r="K42" s="50">
        <f t="shared" si="7"/>
        <v>75.55085791877546</v>
      </c>
      <c r="L42" s="39"/>
      <c r="M42" s="78"/>
      <c r="N42" s="78"/>
      <c r="O42" s="22"/>
    </row>
    <row r="43" spans="1:15" ht="12.75">
      <c r="A43" s="20" t="s">
        <v>31</v>
      </c>
      <c r="B43" s="88">
        <f>SUM(MF:KFA!B43)</f>
        <v>2769352</v>
      </c>
      <c r="C43" s="88">
        <f>SUM(MF:KFA!C43)</f>
        <v>2557903</v>
      </c>
      <c r="D43" s="88">
        <f>SUM(MF:KFA!D43)</f>
        <v>2594549</v>
      </c>
      <c r="E43" s="88">
        <f>SUM(MF:KFA!E43)</f>
        <v>6265</v>
      </c>
      <c r="F43" s="88">
        <f>SUM(MF:KFA!F43)</f>
        <v>132</v>
      </c>
      <c r="G43" s="17">
        <f t="shared" si="4"/>
        <v>2600946</v>
      </c>
      <c r="H43" s="17">
        <f>SUM(MF:KFA!H43)+1</f>
        <v>2585189</v>
      </c>
      <c r="I43" s="35">
        <f t="shared" si="5"/>
        <v>99.6392436604589</v>
      </c>
      <c r="J43" s="32">
        <f t="shared" si="6"/>
        <v>99.39418196302422</v>
      </c>
      <c r="K43" s="50">
        <f t="shared" si="7"/>
        <v>93.3499605683929</v>
      </c>
      <c r="L43" s="39"/>
      <c r="M43" s="78"/>
      <c r="N43" s="78" t="s">
        <v>52</v>
      </c>
      <c r="O43" s="22"/>
    </row>
    <row r="44" spans="1:15" ht="12.75">
      <c r="A44" s="20" t="s">
        <v>32</v>
      </c>
      <c r="B44" s="88">
        <f>SUM(MF:KFA!B44)</f>
        <v>162824</v>
      </c>
      <c r="C44" s="88">
        <f>SUM(MF:KFA!C44)</f>
        <v>74684</v>
      </c>
      <c r="D44" s="88">
        <f>SUM(MF:KFA!D44)</f>
        <v>75826</v>
      </c>
      <c r="E44" s="88">
        <f>SUM(MF:KFA!E44)</f>
        <v>187</v>
      </c>
      <c r="F44" s="88">
        <f>SUM(MF:KFA!F44)</f>
        <v>4</v>
      </c>
      <c r="G44" s="17">
        <f t="shared" si="4"/>
        <v>76017</v>
      </c>
      <c r="H44" s="17">
        <f>SUM(MF:KFA!H44)</f>
        <v>75881</v>
      </c>
      <c r="I44" s="35">
        <f t="shared" si="5"/>
        <v>100.07253448685147</v>
      </c>
      <c r="J44" s="32">
        <f t="shared" si="6"/>
        <v>99.82109265032821</v>
      </c>
      <c r="K44" s="50">
        <f t="shared" si="7"/>
        <v>46.603080626934606</v>
      </c>
      <c r="L44" s="39"/>
      <c r="M44" s="78"/>
      <c r="N44" s="78"/>
      <c r="O44" s="22"/>
    </row>
    <row r="45" spans="1:15" ht="12.75">
      <c r="A45" s="16" t="s">
        <v>49</v>
      </c>
      <c r="B45" s="88">
        <f>SUM(MF:KFA!B45)</f>
        <v>421599</v>
      </c>
      <c r="C45" s="88">
        <f>SUM(MF:KFA!C45)</f>
        <v>589012</v>
      </c>
      <c r="D45" s="88">
        <f>SUM(MF:KFA!D45)</f>
        <v>589012</v>
      </c>
      <c r="E45" s="88">
        <f>SUM(MF:KFA!E45)</f>
        <v>0</v>
      </c>
      <c r="F45" s="88">
        <f>SUM(MF:KFA!F45)</f>
        <v>0</v>
      </c>
      <c r="G45" s="17">
        <f t="shared" si="4"/>
        <v>589012</v>
      </c>
      <c r="H45" s="17">
        <f>SUM(MF:KFA!H45)</f>
        <v>414270</v>
      </c>
      <c r="I45" s="35">
        <f t="shared" si="5"/>
        <v>70.33303226419835</v>
      </c>
      <c r="J45" s="32">
        <f t="shared" si="6"/>
        <v>70.33303226419835</v>
      </c>
      <c r="K45" s="50">
        <f t="shared" si="7"/>
        <v>98.26161826759551</v>
      </c>
      <c r="L45" s="39"/>
      <c r="M45" s="78"/>
      <c r="N45" s="78"/>
      <c r="O45" s="22"/>
    </row>
    <row r="46" spans="1:15" ht="12.75">
      <c r="A46" s="16" t="s">
        <v>34</v>
      </c>
      <c r="B46" s="88">
        <f>B48+B49+B50+B52+B56</f>
        <v>3762574</v>
      </c>
      <c r="C46" s="17">
        <f>SUM(MF:KFA!C46)</f>
        <v>3634914</v>
      </c>
      <c r="D46" s="17">
        <f>SUM(MF:KFA!D46)</f>
        <v>4579145</v>
      </c>
      <c r="E46" s="88">
        <f>SUM(MF:KFA!E46)-1</f>
        <v>371898</v>
      </c>
      <c r="F46" s="17">
        <f>SUM(MF:KFA!F46)</f>
        <v>9306</v>
      </c>
      <c r="G46" s="88">
        <f t="shared" si="4"/>
        <v>4960349</v>
      </c>
      <c r="H46" s="17">
        <f>H48+H49+H50+H52+H56</f>
        <v>4049875</v>
      </c>
      <c r="I46" s="35">
        <f t="shared" si="5"/>
        <v>88.4417287506729</v>
      </c>
      <c r="J46" s="35">
        <f t="shared" si="6"/>
        <v>81.64496086868081</v>
      </c>
      <c r="K46" s="50">
        <f t="shared" si="7"/>
        <v>107.63575679840449</v>
      </c>
      <c r="M46" s="78"/>
      <c r="N46" s="78"/>
      <c r="O46" s="22"/>
    </row>
    <row r="47" spans="1:15" ht="12.75">
      <c r="A47" s="10" t="s">
        <v>35</v>
      </c>
      <c r="B47" s="58"/>
      <c r="C47" s="11"/>
      <c r="D47" s="11"/>
      <c r="E47" s="11"/>
      <c r="F47" s="11"/>
      <c r="G47" s="11"/>
      <c r="H47" s="11"/>
      <c r="I47" s="32"/>
      <c r="J47" s="32"/>
      <c r="K47" s="50"/>
      <c r="M47" s="78"/>
      <c r="N47" s="78"/>
      <c r="O47" s="22"/>
    </row>
    <row r="48" spans="1:15" ht="12.75">
      <c r="A48" s="10" t="s">
        <v>36</v>
      </c>
      <c r="B48" s="58">
        <f>SUM(MF:KFA!B48)</f>
        <v>279200</v>
      </c>
      <c r="C48" s="58">
        <f>SUM(MF:KFA!C48)</f>
        <v>249285</v>
      </c>
      <c r="D48" s="58">
        <f>SUM(MF:KFA!D48)</f>
        <v>272943</v>
      </c>
      <c r="E48" s="58">
        <f>SUM(MF:KFA!E48)</f>
        <v>6583</v>
      </c>
      <c r="F48" s="58">
        <f>SUM(MF:KFA!F48)</f>
        <v>0</v>
      </c>
      <c r="G48" s="11">
        <f t="shared" si="4"/>
        <v>279526</v>
      </c>
      <c r="H48" s="11">
        <f>SUM(MF:KFA!H48)+1</f>
        <v>247104</v>
      </c>
      <c r="I48" s="32">
        <f t="shared" si="5"/>
        <v>90.53318824809575</v>
      </c>
      <c r="J48" s="32">
        <f aca="true" t="shared" si="8" ref="J48:J57">H48/G48*100</f>
        <v>88.4010789693982</v>
      </c>
      <c r="K48" s="50">
        <f aca="true" t="shared" si="9" ref="K48:K56">H48/B48*100</f>
        <v>88.50429799426934</v>
      </c>
      <c r="M48" s="78"/>
      <c r="N48" s="78"/>
      <c r="O48" s="22"/>
    </row>
    <row r="49" spans="1:15" ht="12.75">
      <c r="A49" s="10" t="s">
        <v>37</v>
      </c>
      <c r="B49" s="58">
        <f>SUM(MF:KFA!B49)</f>
        <v>410839</v>
      </c>
      <c r="C49" s="58">
        <f>SUM(MF:KFA!C49)</f>
        <v>422862</v>
      </c>
      <c r="D49" s="58">
        <f>SUM(MF:KFA!D49)</f>
        <v>409053</v>
      </c>
      <c r="E49" s="58">
        <f>SUM(MF:KFA!E49)</f>
        <v>2679</v>
      </c>
      <c r="F49" s="58">
        <f>SUM(MF:KFA!F49)</f>
        <v>0</v>
      </c>
      <c r="G49" s="11">
        <f t="shared" si="4"/>
        <v>411732</v>
      </c>
      <c r="H49" s="11">
        <f>SUM(MF:KFA!H49)</f>
        <v>398474</v>
      </c>
      <c r="I49" s="32">
        <f t="shared" si="5"/>
        <v>97.41378256607335</v>
      </c>
      <c r="J49" s="32">
        <f t="shared" si="8"/>
        <v>96.77994423557071</v>
      </c>
      <c r="K49" s="50">
        <f t="shared" si="9"/>
        <v>96.99030520471523</v>
      </c>
      <c r="M49" s="78"/>
      <c r="N49" s="78"/>
      <c r="O49" s="22"/>
    </row>
    <row r="50" spans="1:15" ht="12.75">
      <c r="A50" s="10" t="s">
        <v>38</v>
      </c>
      <c r="B50" s="58">
        <f>SUM(MF:KFA!B50)</f>
        <v>2488409</v>
      </c>
      <c r="C50" s="58">
        <f>SUM(MF:KFA!C50)</f>
        <v>2460431</v>
      </c>
      <c r="D50" s="58">
        <f>SUM(MF:KFA!D50)</f>
        <v>3105446</v>
      </c>
      <c r="E50" s="58">
        <f>SUM(MF:KFA!E50)</f>
        <v>222835</v>
      </c>
      <c r="F50" s="58">
        <f>SUM(MF:KFA!F50)</f>
        <v>0</v>
      </c>
      <c r="G50" s="11">
        <f t="shared" si="4"/>
        <v>3328281</v>
      </c>
      <c r="H50" s="11">
        <f>SUM(MF:KFA!H50)</f>
        <v>2690904</v>
      </c>
      <c r="I50" s="32">
        <f t="shared" si="5"/>
        <v>86.65112837254294</v>
      </c>
      <c r="J50" s="32">
        <f t="shared" si="8"/>
        <v>80.84966383547543</v>
      </c>
      <c r="K50" s="50">
        <f t="shared" si="9"/>
        <v>108.13752883870778</v>
      </c>
      <c r="M50" s="78"/>
      <c r="N50" s="78"/>
      <c r="O50" s="22"/>
    </row>
    <row r="51" spans="1:15" ht="12.75">
      <c r="A51" s="10" t="s">
        <v>39</v>
      </c>
      <c r="B51" s="58">
        <f>SUM(MF:KFA!B51)</f>
        <v>340083</v>
      </c>
      <c r="C51" s="58">
        <f>SUM(MF:KFA!C51)</f>
        <v>166583</v>
      </c>
      <c r="D51" s="58">
        <f>SUM(MF:KFA!D51)</f>
        <v>345510</v>
      </c>
      <c r="E51" s="58">
        <f>SUM(MF:KFA!E51)</f>
        <v>425</v>
      </c>
      <c r="F51" s="58">
        <f>SUM(MF:KFA!F51)</f>
        <v>0</v>
      </c>
      <c r="G51" s="11">
        <f t="shared" si="4"/>
        <v>345935</v>
      </c>
      <c r="H51" s="11">
        <f>SUM(MF:KFA!H51)</f>
        <v>331307</v>
      </c>
      <c r="I51" s="32">
        <f t="shared" si="5"/>
        <v>95.88926514427946</v>
      </c>
      <c r="J51" s="32">
        <f t="shared" si="8"/>
        <v>95.77145995635018</v>
      </c>
      <c r="K51" s="50">
        <f t="shared" si="9"/>
        <v>97.4194534863548</v>
      </c>
      <c r="M51" s="78"/>
      <c r="N51" s="78"/>
      <c r="O51" s="22"/>
    </row>
    <row r="52" spans="1:15" ht="12.75">
      <c r="A52" s="10" t="s">
        <v>40</v>
      </c>
      <c r="B52" s="58">
        <f>SUM(MF:KFA!B52)</f>
        <v>389859</v>
      </c>
      <c r="C52" s="58">
        <f>SUM(MF:KFA!C52)</f>
        <v>321907</v>
      </c>
      <c r="D52" s="58">
        <f>SUM(MF:KFA!D52)</f>
        <v>399525</v>
      </c>
      <c r="E52" s="58">
        <f>SUM(MF:KFA!E52)</f>
        <v>25668</v>
      </c>
      <c r="F52" s="58">
        <f>SUM(MF:KFA!F52)</f>
        <v>9223</v>
      </c>
      <c r="G52" s="11">
        <f t="shared" si="4"/>
        <v>434416</v>
      </c>
      <c r="H52" s="11">
        <f>SUM(MF:KFA!H52)</f>
        <v>402176</v>
      </c>
      <c r="I52" s="32">
        <f t="shared" si="5"/>
        <v>100.6635379513172</v>
      </c>
      <c r="J52" s="32">
        <f t="shared" si="8"/>
        <v>92.57854222680564</v>
      </c>
      <c r="K52" s="50">
        <f t="shared" si="9"/>
        <v>103.15934735378688</v>
      </c>
      <c r="M52" s="78"/>
      <c r="N52" s="78"/>
      <c r="O52" s="22"/>
    </row>
    <row r="53" spans="1:15" ht="12.75">
      <c r="A53" s="10" t="s">
        <v>41</v>
      </c>
      <c r="B53" s="58">
        <f>SUM(MF:KFA!B53)</f>
        <v>261201</v>
      </c>
      <c r="C53" s="58">
        <f>SUM(MF:KFA!C53)</f>
        <v>200552</v>
      </c>
      <c r="D53" s="58">
        <f>SUM(MF:KFA!D53)</f>
        <v>285755</v>
      </c>
      <c r="E53" s="58">
        <f>SUM(MF:KFA!E53)</f>
        <v>21563</v>
      </c>
      <c r="F53" s="58">
        <f>SUM(MF:KFA!F53)</f>
        <v>2012</v>
      </c>
      <c r="G53" s="11">
        <f t="shared" si="4"/>
        <v>309330</v>
      </c>
      <c r="H53" s="58">
        <f>SUM(MF:KFA!H53)</f>
        <v>297409</v>
      </c>
      <c r="I53" s="126">
        <f t="shared" si="5"/>
        <v>104.07831883956536</v>
      </c>
      <c r="J53" s="32">
        <f t="shared" si="8"/>
        <v>96.14618692011767</v>
      </c>
      <c r="K53" s="50">
        <f t="shared" si="9"/>
        <v>113.86212150795747</v>
      </c>
      <c r="M53" s="78"/>
      <c r="N53" s="78"/>
      <c r="O53" s="22"/>
    </row>
    <row r="54" spans="1:15" ht="12.75">
      <c r="A54" s="10" t="s">
        <v>42</v>
      </c>
      <c r="B54" s="58">
        <f>SUM(MF:KFA!B54)</f>
        <v>20635</v>
      </c>
      <c r="C54" s="58">
        <f>SUM(MF:KFA!C54)</f>
        <v>2340</v>
      </c>
      <c r="D54" s="58">
        <f>SUM(MF:KFA!D54)</f>
        <v>3882</v>
      </c>
      <c r="E54" s="58">
        <f>SUM(MF:KFA!E54)</f>
        <v>52</v>
      </c>
      <c r="F54" s="58">
        <f>SUM(MF:KFA!F54)</f>
        <v>0</v>
      </c>
      <c r="G54" s="11">
        <f t="shared" si="4"/>
        <v>3934</v>
      </c>
      <c r="H54" s="11">
        <f>SUM(MF:KFA!H54)</f>
        <v>3551</v>
      </c>
      <c r="I54" s="32">
        <f t="shared" si="5"/>
        <v>91.47346728490469</v>
      </c>
      <c r="J54" s="32">
        <f t="shared" si="8"/>
        <v>90.26436197254702</v>
      </c>
      <c r="K54" s="50">
        <f t="shared" si="9"/>
        <v>17.208626120668765</v>
      </c>
      <c r="M54" s="78"/>
      <c r="N54" s="78"/>
      <c r="O54" s="22"/>
    </row>
    <row r="55" spans="1:15" ht="12.75">
      <c r="A55" s="10" t="s">
        <v>43</v>
      </c>
      <c r="B55" s="58">
        <f>SUM(MF:KFA!B55)</f>
        <v>91138</v>
      </c>
      <c r="C55" s="58">
        <f>SUM(MF:KFA!C55)</f>
        <v>84404</v>
      </c>
      <c r="D55" s="58">
        <f>SUM(MF:KFA!D55)</f>
        <v>91263</v>
      </c>
      <c r="E55" s="58">
        <f>SUM(MF:KFA!E55)</f>
        <v>3933</v>
      </c>
      <c r="F55" s="58">
        <f>SUM(MF:KFA!F55)</f>
        <v>7211</v>
      </c>
      <c r="G55" s="58">
        <f>D55+E55+F55</f>
        <v>102407</v>
      </c>
      <c r="H55" s="58">
        <f>SUM(MF:KFA!H55)</f>
        <v>83985</v>
      </c>
      <c r="I55" s="126">
        <f t="shared" si="5"/>
        <v>92.0252457184182</v>
      </c>
      <c r="J55" s="32">
        <f t="shared" si="8"/>
        <v>82.0109953421153</v>
      </c>
      <c r="K55" s="50">
        <f t="shared" si="9"/>
        <v>92.15146261713006</v>
      </c>
      <c r="M55" s="78"/>
      <c r="N55" s="78"/>
      <c r="O55" s="22"/>
    </row>
    <row r="56" spans="1:15" ht="13.5" thickBot="1">
      <c r="A56" s="42" t="s">
        <v>44</v>
      </c>
      <c r="B56" s="111">
        <f>SUM(MF:KFA!B56)</f>
        <v>194267</v>
      </c>
      <c r="C56" s="89">
        <f>SUM(MF:KFA!C56)</f>
        <v>180429</v>
      </c>
      <c r="D56" s="89">
        <f>SUM(MF:KFA!D56)</f>
        <v>392178</v>
      </c>
      <c r="E56" s="89">
        <f>SUM(MF:KFA!E56)-1</f>
        <v>114133</v>
      </c>
      <c r="F56" s="89">
        <f>SUM(MF:KFA!F56)</f>
        <v>83</v>
      </c>
      <c r="G56" s="89">
        <f t="shared" si="4"/>
        <v>506394</v>
      </c>
      <c r="H56" s="102">
        <f>SUM(MF:KFA!H56)-2</f>
        <v>311217</v>
      </c>
      <c r="I56" s="65">
        <f t="shared" si="5"/>
        <v>79.35605770848952</v>
      </c>
      <c r="J56" s="65">
        <f t="shared" si="8"/>
        <v>61.45748172371711</v>
      </c>
      <c r="K56" s="52">
        <f t="shared" si="9"/>
        <v>160.2006516804192</v>
      </c>
      <c r="M56" s="78"/>
      <c r="N56" s="78"/>
      <c r="O56" s="22"/>
    </row>
    <row r="57" spans="1:15" ht="12.75">
      <c r="A57" s="10" t="s">
        <v>45</v>
      </c>
      <c r="B57" s="58">
        <f>SUM(MF:KFA!B57)</f>
        <v>24186</v>
      </c>
      <c r="C57" s="58">
        <f>SUM(MF:KFA!C57)</f>
        <v>24388</v>
      </c>
      <c r="D57" s="58">
        <f>SUM(MF:KFA!D57)</f>
        <v>24138</v>
      </c>
      <c r="E57" s="58">
        <f>SUM(MF:KFA!E57)</f>
        <v>0</v>
      </c>
      <c r="F57" s="58">
        <f>SUM(MF:KFA!F57)</f>
        <v>0</v>
      </c>
      <c r="G57" s="58">
        <f t="shared" si="4"/>
        <v>24138</v>
      </c>
      <c r="H57" s="58">
        <f>SUM(MF:KFA!H57)</f>
        <v>23155</v>
      </c>
      <c r="I57" s="126">
        <f t="shared" si="5"/>
        <v>95.92758306404839</v>
      </c>
      <c r="J57" s="32">
        <f t="shared" si="8"/>
        <v>95.92758306404839</v>
      </c>
      <c r="K57" s="50">
        <f>H57/B57*100</f>
        <v>95.73720334077565</v>
      </c>
      <c r="M57" s="78"/>
      <c r="N57" s="78"/>
      <c r="O57" s="22"/>
    </row>
    <row r="58" spans="1:15" ht="12.75" hidden="1">
      <c r="A58" s="10" t="s">
        <v>86</v>
      </c>
      <c r="B58" s="58">
        <f>SUM(MF:KFA!B58)</f>
        <v>0</v>
      </c>
      <c r="C58" s="58">
        <f>SUM(MF:KFA!C58)</f>
        <v>6276587</v>
      </c>
      <c r="D58" s="58">
        <f>SUM(MF:KFA!D58)</f>
        <v>0</v>
      </c>
      <c r="E58" s="58"/>
      <c r="F58" s="58"/>
      <c r="G58" s="58">
        <f t="shared" si="4"/>
        <v>0</v>
      </c>
      <c r="H58" s="58">
        <f>SUM(MF:KFA!H58)</f>
        <v>0</v>
      </c>
      <c r="I58" s="126" t="e">
        <f t="shared" si="5"/>
        <v>#DIV/0!</v>
      </c>
      <c r="J58" s="32"/>
      <c r="K58" s="50"/>
      <c r="M58" s="78"/>
      <c r="N58" s="78"/>
      <c r="O58" s="22"/>
    </row>
    <row r="59" spans="1:15" ht="12.75">
      <c r="A59" s="10" t="s">
        <v>46</v>
      </c>
      <c r="B59" s="58">
        <f>B41/B57/12*1000</f>
        <v>28017.02775710466</v>
      </c>
      <c r="C59" s="58">
        <f>C41/C57/12*1000</f>
        <v>25519.818489967744</v>
      </c>
      <c r="D59" s="58">
        <f>D41/D57/12*1000</f>
        <v>26177.73496837628</v>
      </c>
      <c r="E59" s="94"/>
      <c r="F59" s="58"/>
      <c r="G59" s="58">
        <f>G41/G57/12*1000</f>
        <v>26236.00753997846</v>
      </c>
      <c r="H59" s="58">
        <f>H41/H57/12*1000</f>
        <v>27273.425466062046</v>
      </c>
      <c r="I59" s="126">
        <f t="shared" si="5"/>
        <v>104.1855817510927</v>
      </c>
      <c r="J59" s="32">
        <f>H59/G59*100</f>
        <v>103.95417604794773</v>
      </c>
      <c r="K59" s="50">
        <f>H59/B59*100</f>
        <v>97.34589158604075</v>
      </c>
      <c r="M59" s="22"/>
      <c r="N59" s="22"/>
      <c r="O59" s="22"/>
    </row>
    <row r="60" spans="1:15" ht="13.5" thickBot="1">
      <c r="A60" s="6" t="s">
        <v>47</v>
      </c>
      <c r="B60" s="90">
        <f>B46/B57*1000</f>
        <v>155568.2626312743</v>
      </c>
      <c r="C60" s="90">
        <f>C46/C57*1000</f>
        <v>149045.18615712647</v>
      </c>
      <c r="D60" s="90">
        <f>D46/D57*1000</f>
        <v>189706.89369458944</v>
      </c>
      <c r="E60" s="90"/>
      <c r="F60" s="90"/>
      <c r="G60" s="90">
        <f>G46/G57*1000</f>
        <v>205499.58571546938</v>
      </c>
      <c r="H60" s="90">
        <f>H46/H57*1000</f>
        <v>174902.82876268626</v>
      </c>
      <c r="I60" s="167">
        <f t="shared" si="5"/>
        <v>92.1963484596736</v>
      </c>
      <c r="J60" s="63">
        <f>H60/G60*100</f>
        <v>85.11103716036354</v>
      </c>
      <c r="K60" s="61">
        <f>H60/B60*100</f>
        <v>112.42834869039997</v>
      </c>
      <c r="L60" s="22"/>
      <c r="M60" s="22"/>
      <c r="N60" s="22"/>
      <c r="O60" s="22"/>
    </row>
    <row r="61" spans="8:9" ht="12.75">
      <c r="H61" s="84"/>
      <c r="I61" s="84"/>
    </row>
    <row r="62" spans="1:2" ht="12.75">
      <c r="A62" s="2" t="s">
        <v>64</v>
      </c>
      <c r="B62" s="84"/>
    </row>
    <row r="63" spans="1:2" ht="12.75">
      <c r="A63" s="97" t="s">
        <v>79</v>
      </c>
      <c r="B63" s="84"/>
    </row>
    <row r="64" ht="12.75">
      <c r="A64" s="97" t="s">
        <v>72</v>
      </c>
    </row>
    <row r="65" ht="12.75">
      <c r="A65" s="97" t="s">
        <v>80</v>
      </c>
    </row>
    <row r="66" ht="12.75">
      <c r="A66" s="2" t="s">
        <v>74</v>
      </c>
    </row>
    <row r="67" ht="12.75">
      <c r="A67" s="2" t="s">
        <v>77</v>
      </c>
    </row>
    <row r="68" spans="1:10" ht="12.75">
      <c r="A68" s="204" t="s">
        <v>73</v>
      </c>
      <c r="B68" s="205"/>
      <c r="C68" s="205"/>
      <c r="D68" s="205"/>
      <c r="E68" s="205"/>
      <c r="F68" s="205"/>
      <c r="G68" s="205"/>
      <c r="H68" s="205"/>
      <c r="I68" s="205"/>
      <c r="J68" s="205"/>
    </row>
  </sheetData>
  <sheetProtection/>
  <mergeCells count="1">
    <mergeCell ref="A68:J68"/>
  </mergeCells>
  <printOptions horizontalCentered="1"/>
  <pageMargins left="0.3937007874015748" right="0" top="0.5905511811023623" bottom="0" header="0.5118110236220472" footer="0.5118110236220472"/>
  <pageSetup horizontalDpi="600" verticalDpi="600" orientation="portrait" paperSize="9" scale="75" r:id="rId1"/>
  <headerFooter alignWithMargins="0">
    <oddHeader>&amp;R&amp;"Arial CE,Tučné"&amp;12&amp;UPříloha č. 3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I34" sqref="I34"/>
    </sheetView>
  </sheetViews>
  <sheetFormatPr defaultColWidth="9.1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1997-07-15T08:14:08Z</dcterms:created>
  <cp:category/>
  <cp:version/>
  <cp:contentType/>
  <cp:contentStatus/>
</cp:coreProperties>
</file>