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5475" activeTab="0"/>
  </bookViews>
  <sheets>
    <sheet name="MF" sheetId="1" r:id="rId1"/>
    <sheet name="GFŘ" sheetId="2" r:id="rId2"/>
    <sheet name="GŘC" sheetId="3" r:id="rId3"/>
    <sheet name="ÚZSVM" sheetId="4" r:id="rId4"/>
    <sheet name="KFA" sheetId="5" r:id="rId5"/>
    <sheet name="List2" sheetId="6" r:id="rId6"/>
  </sheets>
  <definedNames/>
  <calcPr fullCalcOnLoad="1"/>
</workbook>
</file>

<file path=xl/sharedStrings.xml><?xml version="1.0" encoding="utf-8"?>
<sst xmlns="http://schemas.openxmlformats.org/spreadsheetml/2006/main" count="632" uniqueCount="92">
  <si>
    <t>Ukazatel</t>
  </si>
  <si>
    <t>skutečnost</t>
  </si>
  <si>
    <t>%plnění</t>
  </si>
  <si>
    <t>skut.</t>
  </si>
  <si>
    <t>schválený</t>
  </si>
  <si>
    <t>v %</t>
  </si>
  <si>
    <t>sloupec</t>
  </si>
  <si>
    <t>Příjmy celkem</t>
  </si>
  <si>
    <t>v tom:</t>
  </si>
  <si>
    <t xml:space="preserve"> - pojistné na sociální  zabezpečení</t>
  </si>
  <si>
    <t xml:space="preserve">   z toho: pojistné na důchod. pojištění</t>
  </si>
  <si>
    <t xml:space="preserve"> - příjmy z vlastní činnosti </t>
  </si>
  <si>
    <t xml:space="preserve"> - příjmy z pronájmu majetku</t>
  </si>
  <si>
    <t xml:space="preserve"> - příjmy z úroků</t>
  </si>
  <si>
    <t xml:space="preserve"> - přijaté sankční platby a vratky transf.</t>
  </si>
  <si>
    <t xml:space="preserve"> - příjmy z prodeje neinv. majetku</t>
  </si>
  <si>
    <t xml:space="preserve"> - ostatní nedaňové příjmy</t>
  </si>
  <si>
    <t xml:space="preserve"> - příjmy z prodeje invest. majetku</t>
  </si>
  <si>
    <t xml:space="preserve"> - ostatní investiční příjmy</t>
  </si>
  <si>
    <t xml:space="preserve"> - převod z vlastních fondů</t>
  </si>
  <si>
    <t>Výdaje celkem</t>
  </si>
  <si>
    <t xml:space="preserve">v tom:  </t>
  </si>
  <si>
    <t xml:space="preserve"> - kapitálové (investiční)</t>
  </si>
  <si>
    <t xml:space="preserve">    v tom:</t>
  </si>
  <si>
    <t xml:space="preserve">    - pořízení nehm. inv. majetku</t>
  </si>
  <si>
    <t xml:space="preserve">    - pořízení hmot. inv. majetku</t>
  </si>
  <si>
    <t xml:space="preserve">    - ostatní pol.</t>
  </si>
  <si>
    <t xml:space="preserve"> - běžné (neinvestiční)</t>
  </si>
  <si>
    <t xml:space="preserve">   - platy zam. a ost. platby</t>
  </si>
  <si>
    <t xml:space="preserve">        v tom: platy zaměstnanců</t>
  </si>
  <si>
    <t>ostatní platby celkem</t>
  </si>
  <si>
    <t xml:space="preserve">   -  povinné pojistné</t>
  </si>
  <si>
    <t xml:space="preserve">   -  příděl do FKSP</t>
  </si>
  <si>
    <t xml:space="preserve">   -  sociální dávky</t>
  </si>
  <si>
    <t xml:space="preserve">   -  ostatní běžné  výdaje</t>
  </si>
  <si>
    <t xml:space="preserve">         v tom:</t>
  </si>
  <si>
    <t xml:space="preserve">        - nákup materiálu </t>
  </si>
  <si>
    <t xml:space="preserve">        - nákup vody, paliv, energie</t>
  </si>
  <si>
    <t xml:space="preserve">        - nákup služeb</t>
  </si>
  <si>
    <t xml:space="preserve">          z toho: nájemné</t>
  </si>
  <si>
    <t xml:space="preserve">        - ostatní nákupy</t>
  </si>
  <si>
    <t xml:space="preserve">          z toho: opravy a udržování</t>
  </si>
  <si>
    <t xml:space="preserve">                    program. vyb. do 60 tis.Kč</t>
  </si>
  <si>
    <t xml:space="preserve">                    cestovné</t>
  </si>
  <si>
    <t xml:space="preserve">       - ostatní pol.                                   </t>
  </si>
  <si>
    <t>prům. přep. počet zaměst.</t>
  </si>
  <si>
    <t>průměrný měsíční plat v Kč</t>
  </si>
  <si>
    <t>ostatní běžné výdaje  na 1 zam. v Kč</t>
  </si>
  <si>
    <t xml:space="preserve">                 ostatní platby celkem</t>
  </si>
  <si>
    <t xml:space="preserve">   - sociální dávky</t>
  </si>
  <si>
    <t>Generální ředitelství cel</t>
  </si>
  <si>
    <t>Úřad pro zastupování státu ve věcech majetkových</t>
  </si>
  <si>
    <t xml:space="preserve"> </t>
  </si>
  <si>
    <t xml:space="preserve"> - odvody přebytků org. s přímým vztahem</t>
  </si>
  <si>
    <t xml:space="preserve"> - splátky půjčených prostředků</t>
  </si>
  <si>
    <t xml:space="preserve">  - příjmy z akcií a majetkových podílů</t>
  </si>
  <si>
    <t xml:space="preserve"> - neinvestiční přijaté transfery ze zahraničí</t>
  </si>
  <si>
    <t xml:space="preserve"> - správní poplatky</t>
  </si>
  <si>
    <t xml:space="preserve"> - poplatek za využív. přírod. minerál. vody</t>
  </si>
  <si>
    <t>NNV</t>
  </si>
  <si>
    <t>MRZ</t>
  </si>
  <si>
    <t>Poznámka:</t>
  </si>
  <si>
    <t>upravený</t>
  </si>
  <si>
    <t>x</t>
  </si>
  <si>
    <t>celkový</t>
  </si>
  <si>
    <t>celkov. r.</t>
  </si>
  <si>
    <r>
      <t>MRZ</t>
    </r>
    <r>
      <rPr>
        <sz val="10"/>
        <rFont val="Times New Roman CE"/>
        <family val="0"/>
      </rPr>
      <t xml:space="preserve"> - mimorozpočtové zdroje převedené na příjmové účty</t>
    </r>
  </si>
  <si>
    <t xml:space="preserve"> - v oblasti příjmů = upravený rozpočet + MRZ převedené na příjmové účty a pojistné plnění z účtu s předčíslím 19, tj. sl. 3+5</t>
  </si>
  <si>
    <t xml:space="preserve"> - v oblasti výdajů = upravený rozpočet + MRZ převedené na příjmové účty a pojistné plnění z účtu s předčíslím 19 + NNV uvolněné </t>
  </si>
  <si>
    <t xml:space="preserve">                    program. vyb. do 60 tis. Kč</t>
  </si>
  <si>
    <t xml:space="preserve"> dle výkazu NNV vyhl. 449/2009 Sb.,v platném znění  tj. sl. 3+4+5</t>
  </si>
  <si>
    <r>
      <t>NNV</t>
    </r>
    <r>
      <rPr>
        <sz val="10"/>
        <rFont val="Times New Roman CE"/>
        <family val="0"/>
      </rPr>
      <t xml:space="preserve"> - uvolněné nároky z nespotřebovaných výdajů OSS (sl. 8 výkazu NNV dle vyhlášky 449/2009 Sb., v platném znění)</t>
    </r>
  </si>
  <si>
    <r>
      <t>celkový rozpočet</t>
    </r>
    <r>
      <rPr>
        <sz val="10"/>
        <rFont val="Times New Roman CE"/>
        <family val="0"/>
      </rPr>
      <t xml:space="preserve"> = konečný rozpočet včetně položky sociální dávky</t>
    </r>
  </si>
  <si>
    <t xml:space="preserve">Ministerstvo financí </t>
  </si>
  <si>
    <t>Generální finanční ředitelství</t>
  </si>
  <si>
    <t>Kancelář finančního arbitra</t>
  </si>
  <si>
    <t xml:space="preserve"> - neinv. převody z  Národního fondu</t>
  </si>
  <si>
    <t xml:space="preserve"> - investiční převody z Národního fondu</t>
  </si>
  <si>
    <t>uprav. r.</t>
  </si>
  <si>
    <t>MRZ+POJ</t>
  </si>
  <si>
    <t>vázání</t>
  </si>
  <si>
    <t xml:space="preserve"> 8:3</t>
  </si>
  <si>
    <t xml:space="preserve"> 8:7</t>
  </si>
  <si>
    <t xml:space="preserve"> 8:1</t>
  </si>
  <si>
    <t>2013/2012</t>
  </si>
  <si>
    <t>platy včetně září v tis. Kč</t>
  </si>
  <si>
    <t>Plnění vybraných ukazatelů státního rozpočtu k  31. 12. 2013 dle finančních výkazů Fin RO 2- 04 U (v tis. Kč)</t>
  </si>
  <si>
    <t>k 31. 12.</t>
  </si>
  <si>
    <t>rozpočet k 31.12.</t>
  </si>
  <si>
    <t>rozpočet k 31. 12.</t>
  </si>
  <si>
    <r>
      <t xml:space="preserve">    - ostatní pol. </t>
    </r>
    <r>
      <rPr>
        <i/>
        <sz val="9"/>
        <rFont val="Times New Roman CE"/>
        <family val="0"/>
      </rPr>
      <t>(vč.nákupu akcií pol.6201)</t>
    </r>
  </si>
  <si>
    <t xml:space="preserve"> - příslušenství k pojistnému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</si>
</sst>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,000.0"/>
    <numFmt numFmtId="169" formatCode="#,##0.0"/>
    <numFmt numFmtId="170" formatCode="0.0%"/>
    <numFmt numFmtId="171" formatCode="0.0"/>
    <numFmt numFmtId="172" formatCode="#,##0;[Red]\-#,##0;&quot;  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sz val="10"/>
      <color indexed="12"/>
      <name val="Times New Roman CE"/>
      <family val="1"/>
    </font>
    <font>
      <sz val="10"/>
      <color indexed="10"/>
      <name val="Times New Roman CE"/>
      <family val="1"/>
    </font>
    <font>
      <u val="single"/>
      <sz val="10"/>
      <name val="Times New Roman CE"/>
      <family val="1"/>
    </font>
    <font>
      <i/>
      <sz val="8"/>
      <name val="Times New Roman CE"/>
      <family val="0"/>
    </font>
    <font>
      <sz val="8"/>
      <name val="Arial CE"/>
      <family val="0"/>
    </font>
    <font>
      <i/>
      <sz val="9"/>
      <color indexed="12"/>
      <name val="Times New Roman CE"/>
      <family val="0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i/>
      <sz val="9"/>
      <color indexed="10"/>
      <name val="Times New Roman CE"/>
      <family val="1"/>
    </font>
    <font>
      <i/>
      <sz val="10"/>
      <color indexed="12"/>
      <name val="Times New Roman CE"/>
      <family val="0"/>
    </font>
    <font>
      <b/>
      <u val="single"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dotted"/>
    </border>
    <border>
      <left style="thin"/>
      <right style="thin"/>
      <top style="medium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2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3" borderId="8" applyNumberFormat="0" applyAlignment="0" applyProtection="0"/>
    <xf numFmtId="0" fontId="30" fillId="13" borderId="9" applyNumberFormat="0" applyAlignment="0" applyProtection="0"/>
    <xf numFmtId="0" fontId="31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3" fontId="5" fillId="0" borderId="13" xfId="0" applyNumberFormat="1" applyFont="1" applyBorder="1" applyAlignment="1">
      <alignment horizontal="center"/>
    </xf>
    <xf numFmtId="169" fontId="4" fillId="0" borderId="15" xfId="0" applyNumberFormat="1" applyFont="1" applyBorder="1" applyAlignment="1">
      <alignment/>
    </xf>
    <xf numFmtId="169" fontId="5" fillId="0" borderId="17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169" fontId="5" fillId="0" borderId="15" xfId="0" applyNumberFormat="1" applyFont="1" applyBorder="1" applyAlignment="1">
      <alignment/>
    </xf>
    <xf numFmtId="169" fontId="4" fillId="0" borderId="17" xfId="0" applyNumberFormat="1" applyFont="1" applyBorder="1" applyAlignment="1">
      <alignment/>
    </xf>
    <xf numFmtId="169" fontId="4" fillId="0" borderId="17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8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3" fontId="4" fillId="0" borderId="15" xfId="0" applyNumberFormat="1" applyFont="1" applyBorder="1" applyAlignment="1" applyProtection="1">
      <alignment/>
      <protection locked="0"/>
    </xf>
    <xf numFmtId="4" fontId="5" fillId="0" borderId="27" xfId="0" applyNumberFormat="1" applyFont="1" applyBorder="1" applyAlignment="1">
      <alignment/>
    </xf>
    <xf numFmtId="169" fontId="5" fillId="0" borderId="28" xfId="0" applyNumberFormat="1" applyFont="1" applyBorder="1" applyAlignment="1">
      <alignment/>
    </xf>
    <xf numFmtId="169" fontId="5" fillId="0" borderId="29" xfId="0" applyNumberFormat="1" applyFont="1" applyBorder="1" applyAlignment="1">
      <alignment/>
    </xf>
    <xf numFmtId="169" fontId="5" fillId="0" borderId="27" xfId="0" applyNumberFormat="1" applyFont="1" applyBorder="1" applyAlignment="1">
      <alignment/>
    </xf>
    <xf numFmtId="169" fontId="5" fillId="0" borderId="19" xfId="0" applyNumberFormat="1" applyFont="1" applyBorder="1" applyAlignment="1">
      <alignment/>
    </xf>
    <xf numFmtId="169" fontId="5" fillId="0" borderId="30" xfId="0" applyNumberFormat="1" applyFont="1" applyBorder="1" applyAlignment="1">
      <alignment/>
    </xf>
    <xf numFmtId="169" fontId="4" fillId="0" borderId="29" xfId="0" applyNumberFormat="1" applyFont="1" applyBorder="1" applyAlignment="1">
      <alignment/>
    </xf>
    <xf numFmtId="169" fontId="4" fillId="0" borderId="27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169" fontId="5" fillId="0" borderId="17" xfId="0" applyNumberFormat="1" applyFont="1" applyBorder="1" applyAlignment="1">
      <alignment/>
    </xf>
    <xf numFmtId="169" fontId="5" fillId="0" borderId="2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9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9" fontId="5" fillId="0" borderId="26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69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5" fillId="0" borderId="33" xfId="0" applyNumberFormat="1" applyFont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4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/>
    </xf>
    <xf numFmtId="0" fontId="5" fillId="0" borderId="18" xfId="0" applyFont="1" applyBorder="1" applyAlignment="1">
      <alignment horizontal="centerContinuous"/>
    </xf>
    <xf numFmtId="0" fontId="5" fillId="0" borderId="35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1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7" xfId="0" applyNumberFormat="1" applyFont="1" applyFill="1" applyBorder="1" applyAlignment="1">
      <alignment/>
    </xf>
    <xf numFmtId="3" fontId="12" fillId="0" borderId="17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4" fillId="0" borderId="15" xfId="0" applyNumberFormat="1" applyFont="1" applyBorder="1" applyAlignment="1" applyProtection="1">
      <alignment/>
      <protection/>
    </xf>
    <xf numFmtId="3" fontId="5" fillId="0" borderId="17" xfId="0" applyNumberFormat="1" applyFont="1" applyFill="1" applyBorder="1" applyAlignment="1">
      <alignment/>
    </xf>
    <xf numFmtId="3" fontId="14" fillId="0" borderId="17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0" fontId="4" fillId="0" borderId="0" xfId="0" applyFont="1" applyFill="1" applyAlignment="1">
      <alignment/>
    </xf>
    <xf numFmtId="171" fontId="4" fillId="0" borderId="17" xfId="0" applyNumberFormat="1" applyFont="1" applyFill="1" applyBorder="1" applyAlignment="1">
      <alignment/>
    </xf>
    <xf numFmtId="169" fontId="5" fillId="0" borderId="17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169" fontId="5" fillId="0" borderId="26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1" xfId="0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169" fontId="4" fillId="0" borderId="38" xfId="0" applyNumberFormat="1" applyFont="1" applyFill="1" applyBorder="1" applyAlignment="1">
      <alignment/>
    </xf>
    <xf numFmtId="169" fontId="5" fillId="0" borderId="29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 horizontal="center"/>
    </xf>
    <xf numFmtId="169" fontId="5" fillId="0" borderId="37" xfId="0" applyNumberFormat="1" applyFont="1" applyFill="1" applyBorder="1" applyAlignment="1">
      <alignment/>
    </xf>
    <xf numFmtId="169" fontId="5" fillId="0" borderId="2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/>
    </xf>
    <xf numFmtId="169" fontId="5" fillId="0" borderId="17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169" fontId="5" fillId="0" borderId="33" xfId="0" applyNumberFormat="1" applyFont="1" applyFill="1" applyBorder="1" applyAlignment="1">
      <alignment/>
    </xf>
    <xf numFmtId="169" fontId="5" fillId="0" borderId="33" xfId="0" applyNumberFormat="1" applyFont="1" applyFill="1" applyBorder="1" applyAlignment="1">
      <alignment/>
    </xf>
    <xf numFmtId="169" fontId="5" fillId="0" borderId="34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9" fontId="5" fillId="0" borderId="13" xfId="0" applyNumberFormat="1" applyFont="1" applyFill="1" applyBorder="1" applyAlignment="1">
      <alignment/>
    </xf>
    <xf numFmtId="169" fontId="4" fillId="0" borderId="13" xfId="0" applyNumberFormat="1" applyFont="1" applyFill="1" applyBorder="1" applyAlignment="1">
      <alignment/>
    </xf>
    <xf numFmtId="169" fontId="5" fillId="0" borderId="2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169" fontId="10" fillId="0" borderId="41" xfId="0" applyNumberFormat="1" applyFont="1" applyFill="1" applyBorder="1" applyAlignment="1">
      <alignment/>
    </xf>
    <xf numFmtId="169" fontId="5" fillId="0" borderId="41" xfId="0" applyNumberFormat="1" applyFont="1" applyFill="1" applyBorder="1" applyAlignment="1">
      <alignment/>
    </xf>
    <xf numFmtId="169" fontId="5" fillId="0" borderId="19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169" fontId="5" fillId="0" borderId="42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169" fontId="5" fillId="0" borderId="43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69" fontId="5" fillId="0" borderId="15" xfId="0" applyNumberFormat="1" applyFont="1" applyFill="1" applyBorder="1" applyAlignment="1">
      <alignment/>
    </xf>
    <xf numFmtId="169" fontId="5" fillId="0" borderId="15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169" fontId="10" fillId="0" borderId="46" xfId="0" applyNumberFormat="1" applyFont="1" applyFill="1" applyBorder="1" applyAlignment="1">
      <alignment/>
    </xf>
    <xf numFmtId="169" fontId="5" fillId="0" borderId="46" xfId="0" applyNumberFormat="1" applyFont="1" applyFill="1" applyBorder="1" applyAlignment="1">
      <alignment/>
    </xf>
    <xf numFmtId="169" fontId="4" fillId="0" borderId="36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169" fontId="5" fillId="0" borderId="47" xfId="0" applyNumberFormat="1" applyFont="1" applyFill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0" xfId="0" applyNumberFormat="1" applyFont="1" applyFill="1" applyBorder="1" applyAlignment="1">
      <alignment/>
    </xf>
    <xf numFmtId="169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69" fontId="15" fillId="0" borderId="17" xfId="0" applyNumberFormat="1" applyFont="1" applyBorder="1" applyAlignment="1">
      <alignment/>
    </xf>
    <xf numFmtId="169" fontId="4" fillId="0" borderId="15" xfId="0" applyNumberFormat="1" applyFont="1" applyBorder="1" applyAlignment="1" applyProtection="1">
      <alignment/>
      <protection locked="0"/>
    </xf>
    <xf numFmtId="169" fontId="4" fillId="0" borderId="15" xfId="0" applyNumberFormat="1" applyFont="1" applyBorder="1" applyAlignment="1" applyProtection="1">
      <alignment/>
      <protection/>
    </xf>
    <xf numFmtId="0" fontId="10" fillId="0" borderId="35" xfId="0" applyFont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3" fontId="32" fillId="0" borderId="15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32" fillId="0" borderId="15" xfId="0" applyNumberFormat="1" applyFont="1" applyBorder="1" applyAlignment="1" applyProtection="1">
      <alignment/>
      <protection locked="0"/>
    </xf>
    <xf numFmtId="3" fontId="10" fillId="0" borderId="15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3" fontId="32" fillId="0" borderId="17" xfId="0" applyNumberFormat="1" applyFont="1" applyBorder="1" applyAlignment="1">
      <alignment/>
    </xf>
    <xf numFmtId="169" fontId="32" fillId="0" borderId="17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32" fillId="0" borderId="15" xfId="0" applyNumberFormat="1" applyFont="1" applyFill="1" applyBorder="1" applyAlignment="1">
      <alignment/>
    </xf>
    <xf numFmtId="3" fontId="32" fillId="0" borderId="17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3" fontId="32" fillId="0" borderId="47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5" fillId="0" borderId="48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169" fontId="5" fillId="0" borderId="28" xfId="0" applyNumberFormat="1" applyFont="1" applyFill="1" applyBorder="1" applyAlignment="1">
      <alignment/>
    </xf>
    <xf numFmtId="169" fontId="5" fillId="0" borderId="49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34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37" xfId="47" applyNumberFormat="1" applyFont="1" applyFill="1" applyBorder="1">
      <alignment/>
      <protection/>
    </xf>
    <xf numFmtId="3" fontId="5" fillId="0" borderId="39" xfId="47" applyNumberFormat="1" applyFont="1" applyFill="1" applyBorder="1">
      <alignment/>
      <protection/>
    </xf>
    <xf numFmtId="3" fontId="5" fillId="0" borderId="31" xfId="47" applyNumberFormat="1" applyFont="1" applyFill="1" applyBorder="1">
      <alignment/>
      <protection/>
    </xf>
    <xf numFmtId="3" fontId="5" fillId="0" borderId="47" xfId="47" applyNumberFormat="1" applyFont="1" applyFill="1" applyBorder="1">
      <alignment/>
      <protection/>
    </xf>
    <xf numFmtId="3" fontId="4" fillId="0" borderId="47" xfId="47" applyNumberFormat="1" applyFont="1" applyFill="1" applyBorder="1">
      <alignment/>
      <protection/>
    </xf>
    <xf numFmtId="3" fontId="5" fillId="0" borderId="26" xfId="47" applyNumberFormat="1" applyFont="1" applyFill="1" applyBorder="1">
      <alignment/>
      <protection/>
    </xf>
    <xf numFmtId="3" fontId="5" fillId="0" borderId="17" xfId="47" applyNumberFormat="1" applyFont="1" applyFill="1" applyBorder="1">
      <alignment/>
      <protection/>
    </xf>
    <xf numFmtId="3" fontId="5" fillId="0" borderId="17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169" fontId="5" fillId="0" borderId="49" xfId="0" applyNumberFormat="1" applyFont="1" applyBorder="1" applyAlignment="1">
      <alignment/>
    </xf>
    <xf numFmtId="169" fontId="5" fillId="0" borderId="50" xfId="0" applyNumberFormat="1" applyFont="1" applyBorder="1" applyAlignment="1">
      <alignment/>
    </xf>
    <xf numFmtId="169" fontId="5" fillId="0" borderId="51" xfId="0" applyNumberFormat="1" applyFont="1" applyBorder="1" applyAlignment="1">
      <alignment/>
    </xf>
    <xf numFmtId="169" fontId="5" fillId="0" borderId="52" xfId="0" applyNumberFormat="1" applyFont="1" applyBorder="1" applyAlignment="1">
      <alignment/>
    </xf>
    <xf numFmtId="169" fontId="5" fillId="0" borderId="53" xfId="0" applyNumberFormat="1" applyFont="1" applyBorder="1" applyAlignment="1">
      <alignment/>
    </xf>
    <xf numFmtId="0" fontId="5" fillId="0" borderId="32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y_rozbor_GFŘ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120" zoomScaleNormal="120" workbookViewId="0" topLeftCell="A1">
      <pane ySplit="7" topLeftCell="BM8" activePane="bottomLeft" state="frozen"/>
      <selection pane="topLeft" activeCell="M14" sqref="M14"/>
      <selection pane="bottomLeft" activeCell="J1" sqref="J1"/>
    </sheetView>
  </sheetViews>
  <sheetFormatPr defaultColWidth="9.125" defaultRowHeight="12.75"/>
  <cols>
    <col min="1" max="1" width="33.00390625" style="1" customWidth="1"/>
    <col min="2" max="2" width="9.625" style="38" customWidth="1"/>
    <col min="3" max="3" width="9.125" style="1" customWidth="1"/>
    <col min="4" max="4" width="9.375" style="1" customWidth="1"/>
    <col min="5" max="5" width="9.625" style="1" customWidth="1"/>
    <col min="6" max="6" width="6.875" style="1" customWidth="1"/>
    <col min="7" max="7" width="6.75390625" style="1" customWidth="1"/>
    <col min="8" max="8" width="9.125" style="1" customWidth="1"/>
    <col min="9" max="9" width="9.375" style="1" customWidth="1"/>
    <col min="10" max="10" width="8.125" style="1" customWidth="1"/>
    <col min="11" max="11" width="7.375" style="1" customWidth="1"/>
    <col min="12" max="12" width="8.375" style="1" customWidth="1"/>
    <col min="13" max="16384" width="9.125" style="1" customWidth="1"/>
  </cols>
  <sheetData>
    <row r="1" spans="1:11" ht="12.75">
      <c r="A1" s="97" t="s">
        <v>73</v>
      </c>
      <c r="B1" s="37"/>
      <c r="J1" s="234"/>
      <c r="K1" s="234"/>
    </row>
    <row r="2" ht="12.75">
      <c r="A2" s="1" t="s">
        <v>86</v>
      </c>
    </row>
    <row r="3" spans="9:12" ht="13.5" thickBot="1">
      <c r="I3" s="2"/>
      <c r="J3" s="2"/>
      <c r="L3" s="22"/>
    </row>
    <row r="4" spans="1:12" ht="12.75">
      <c r="A4" s="3"/>
      <c r="B4" s="40">
        <v>2012</v>
      </c>
      <c r="C4" s="25"/>
      <c r="D4" s="204">
        <v>2013</v>
      </c>
      <c r="E4" s="25"/>
      <c r="F4" s="25"/>
      <c r="G4" s="25"/>
      <c r="H4" s="25"/>
      <c r="I4" s="25"/>
      <c r="J4" s="25"/>
      <c r="K4" s="26"/>
      <c r="L4" s="17" t="s">
        <v>84</v>
      </c>
    </row>
    <row r="5" spans="1:12" ht="12.75">
      <c r="A5" s="4" t="s">
        <v>0</v>
      </c>
      <c r="B5" s="39" t="s">
        <v>1</v>
      </c>
      <c r="C5" s="27" t="s">
        <v>88</v>
      </c>
      <c r="D5" s="28"/>
      <c r="E5" s="80"/>
      <c r="F5" s="80"/>
      <c r="G5" s="80"/>
      <c r="H5" s="80"/>
      <c r="I5" s="23" t="s">
        <v>1</v>
      </c>
      <c r="J5" s="23" t="s">
        <v>2</v>
      </c>
      <c r="K5" s="23" t="s">
        <v>2</v>
      </c>
      <c r="L5" s="17" t="s">
        <v>3</v>
      </c>
    </row>
    <row r="6" spans="1:12" ht="13.5" thickBot="1">
      <c r="A6" s="5"/>
      <c r="B6" s="115" t="s">
        <v>87</v>
      </c>
      <c r="C6" s="24" t="s">
        <v>4</v>
      </c>
      <c r="D6" s="24" t="s">
        <v>62</v>
      </c>
      <c r="E6" s="81" t="s">
        <v>59</v>
      </c>
      <c r="F6" s="81" t="s">
        <v>60</v>
      </c>
      <c r="G6" s="172" t="s">
        <v>80</v>
      </c>
      <c r="H6" s="81" t="s">
        <v>64</v>
      </c>
      <c r="I6" s="195" t="s">
        <v>87</v>
      </c>
      <c r="J6" s="24" t="s">
        <v>78</v>
      </c>
      <c r="K6" s="24" t="s">
        <v>65</v>
      </c>
      <c r="L6" s="36" t="s">
        <v>5</v>
      </c>
    </row>
    <row r="7" spans="1:12" ht="13.5" thickBot="1">
      <c r="A7" s="5" t="s">
        <v>6</v>
      </c>
      <c r="B7" s="29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8" t="s">
        <v>81</v>
      </c>
      <c r="K7" s="29" t="s">
        <v>82</v>
      </c>
      <c r="L7" s="18" t="s">
        <v>83</v>
      </c>
    </row>
    <row r="8" spans="1:12" ht="12.75">
      <c r="A8" s="7" t="s">
        <v>7</v>
      </c>
      <c r="B8" s="72">
        <f>SUM(B10:B29)</f>
        <v>843392</v>
      </c>
      <c r="C8" s="8">
        <f>SUM(C10:C29)</f>
        <v>728154</v>
      </c>
      <c r="D8" s="8">
        <f>SUM(D10:D29)</f>
        <v>728154</v>
      </c>
      <c r="E8" s="83" t="s">
        <v>63</v>
      </c>
      <c r="F8" s="8">
        <f>SUM(F10:F29)</f>
        <v>316</v>
      </c>
      <c r="G8" s="83" t="s">
        <v>63</v>
      </c>
      <c r="H8" s="8">
        <f>D8+F8</f>
        <v>728470</v>
      </c>
      <c r="I8" s="8">
        <f>I10+I12+I14+I15+I16+I17+I18+I19+I20+I21+I22+I23+I24+I26+I27+I28+I29</f>
        <v>1055357</v>
      </c>
      <c r="J8" s="30">
        <f>I8/D8*100</f>
        <v>144.93596134883555</v>
      </c>
      <c r="K8" s="30">
        <f>I8/H8*100</f>
        <v>144.87309017529893</v>
      </c>
      <c r="L8" s="51">
        <f>I8/B8*100</f>
        <v>125.13244137957203</v>
      </c>
    </row>
    <row r="9" spans="1:14" ht="12.75">
      <c r="A9" s="9" t="s">
        <v>8</v>
      </c>
      <c r="B9" s="10"/>
      <c r="C9" s="10"/>
      <c r="D9" s="10"/>
      <c r="E9" s="84"/>
      <c r="F9" s="10"/>
      <c r="G9" s="84"/>
      <c r="H9" s="10"/>
      <c r="I9" s="87"/>
      <c r="J9" s="169"/>
      <c r="K9" s="31"/>
      <c r="L9" s="48"/>
      <c r="N9" s="38"/>
    </row>
    <row r="10" spans="1:12" ht="12.75">
      <c r="A10" s="67" t="s">
        <v>57</v>
      </c>
      <c r="B10" s="55">
        <f>10556+1</f>
        <v>10557</v>
      </c>
      <c r="C10" s="10">
        <v>17000</v>
      </c>
      <c r="D10" s="10">
        <v>17000</v>
      </c>
      <c r="E10" s="84" t="s">
        <v>63</v>
      </c>
      <c r="F10" s="10"/>
      <c r="G10" s="84" t="s">
        <v>63</v>
      </c>
      <c r="H10" s="10">
        <f aca="true" t="shared" si="0" ref="H10:H29">D10+F10</f>
        <v>17000</v>
      </c>
      <c r="I10" s="10">
        <v>7975</v>
      </c>
      <c r="J10" s="31">
        <f>I10/D10*100</f>
        <v>46.911764705882355</v>
      </c>
      <c r="K10" s="31">
        <f aca="true" t="shared" si="1" ref="K10:K29">I10/H10*100</f>
        <v>46.911764705882355</v>
      </c>
      <c r="L10" s="48">
        <f>I10/B10*100</f>
        <v>75.54229421237095</v>
      </c>
    </row>
    <row r="11" spans="1:12" ht="12.75">
      <c r="A11" s="67" t="s">
        <v>91</v>
      </c>
      <c r="B11" s="55"/>
      <c r="C11" s="10"/>
      <c r="D11" s="10"/>
      <c r="E11" s="84" t="s">
        <v>63</v>
      </c>
      <c r="F11" s="10"/>
      <c r="G11" s="84" t="s">
        <v>63</v>
      </c>
      <c r="H11" s="10"/>
      <c r="I11" s="10"/>
      <c r="J11" s="31"/>
      <c r="K11" s="31"/>
      <c r="L11" s="48"/>
    </row>
    <row r="12" spans="1:12" ht="12.75">
      <c r="A12" s="67" t="s">
        <v>9</v>
      </c>
      <c r="B12" s="55"/>
      <c r="C12" s="10"/>
      <c r="D12" s="10"/>
      <c r="E12" s="84" t="s">
        <v>63</v>
      </c>
      <c r="F12" s="10"/>
      <c r="G12" s="84" t="s">
        <v>63</v>
      </c>
      <c r="H12" s="10">
        <f t="shared" si="0"/>
        <v>0</v>
      </c>
      <c r="I12" s="10"/>
      <c r="J12" s="31"/>
      <c r="K12" s="31"/>
      <c r="L12" s="48"/>
    </row>
    <row r="13" spans="1:12" ht="12.75">
      <c r="A13" s="67" t="s">
        <v>10</v>
      </c>
      <c r="B13" s="55"/>
      <c r="C13" s="10"/>
      <c r="D13" s="10"/>
      <c r="E13" s="84" t="s">
        <v>63</v>
      </c>
      <c r="F13" s="10"/>
      <c r="G13" s="84" t="s">
        <v>63</v>
      </c>
      <c r="H13" s="10">
        <f t="shared" si="0"/>
        <v>0</v>
      </c>
      <c r="I13" s="10"/>
      <c r="J13" s="31"/>
      <c r="K13" s="31"/>
      <c r="L13" s="48"/>
    </row>
    <row r="14" spans="1:14" ht="12.75">
      <c r="A14" s="9" t="s">
        <v>11</v>
      </c>
      <c r="B14" s="55">
        <f>3095+1-1</f>
        <v>3095</v>
      </c>
      <c r="C14" s="10">
        <v>5230</v>
      </c>
      <c r="D14" s="10">
        <f>5109+121</f>
        <v>5230</v>
      </c>
      <c r="E14" s="84" t="s">
        <v>63</v>
      </c>
      <c r="F14" s="10"/>
      <c r="G14" s="84" t="s">
        <v>63</v>
      </c>
      <c r="H14" s="10">
        <f t="shared" si="0"/>
        <v>5230</v>
      </c>
      <c r="I14" s="10">
        <f>3030+1+134</f>
        <v>3165</v>
      </c>
      <c r="J14" s="31">
        <f>I14/D14*100</f>
        <v>60.51625239005736</v>
      </c>
      <c r="K14" s="31">
        <f t="shared" si="1"/>
        <v>60.51625239005736</v>
      </c>
      <c r="L14" s="48">
        <f>I14/B14*100</f>
        <v>102.26171243941842</v>
      </c>
      <c r="N14" s="38"/>
    </row>
    <row r="15" spans="1:12" ht="12.75">
      <c r="A15" s="53" t="s">
        <v>53</v>
      </c>
      <c r="B15" s="55">
        <f>40936+1</f>
        <v>40937</v>
      </c>
      <c r="C15" s="10"/>
      <c r="D15" s="10"/>
      <c r="E15" s="84" t="s">
        <v>63</v>
      </c>
      <c r="F15" s="10"/>
      <c r="G15" s="84" t="s">
        <v>63</v>
      </c>
      <c r="H15" s="10">
        <f t="shared" si="0"/>
        <v>0</v>
      </c>
      <c r="I15" s="10"/>
      <c r="J15" s="31"/>
      <c r="K15" s="31"/>
      <c r="L15" s="48"/>
    </row>
    <row r="16" spans="1:12" ht="12.75">
      <c r="A16" s="9" t="s">
        <v>12</v>
      </c>
      <c r="B16" s="55">
        <v>10531</v>
      </c>
      <c r="C16" s="10">
        <v>10260</v>
      </c>
      <c r="D16" s="10">
        <f>6350+3844+66</f>
        <v>10260</v>
      </c>
      <c r="E16" s="84" t="s">
        <v>63</v>
      </c>
      <c r="F16" s="10"/>
      <c r="G16" s="84" t="s">
        <v>63</v>
      </c>
      <c r="H16" s="10">
        <f t="shared" si="0"/>
        <v>10260</v>
      </c>
      <c r="I16" s="10">
        <f>6653+4041+1+30</f>
        <v>10725</v>
      </c>
      <c r="J16" s="31">
        <f>I16/D16*100</f>
        <v>104.53216374269006</v>
      </c>
      <c r="K16" s="31">
        <f t="shared" si="1"/>
        <v>104.53216374269006</v>
      </c>
      <c r="L16" s="48">
        <f aca="true" t="shared" si="2" ref="L16:L28">I16/B16*100</f>
        <v>101.84218022979775</v>
      </c>
    </row>
    <row r="17" spans="1:12" ht="12.75">
      <c r="A17" s="9" t="s">
        <v>13</v>
      </c>
      <c r="B17" s="55">
        <v>61986</v>
      </c>
      <c r="C17" s="10">
        <v>36035</v>
      </c>
      <c r="D17" s="10">
        <v>36035</v>
      </c>
      <c r="E17" s="84" t="s">
        <v>63</v>
      </c>
      <c r="F17" s="10"/>
      <c r="G17" s="84" t="s">
        <v>63</v>
      </c>
      <c r="H17" s="10">
        <f t="shared" si="0"/>
        <v>36035</v>
      </c>
      <c r="I17" s="10">
        <f>35507-1</f>
        <v>35506</v>
      </c>
      <c r="J17" s="31">
        <f>I17/D17*100</f>
        <v>98.53198279450535</v>
      </c>
      <c r="K17" s="31">
        <f t="shared" si="1"/>
        <v>98.53198279450535</v>
      </c>
      <c r="L17" s="48">
        <f t="shared" si="2"/>
        <v>57.28067628174104</v>
      </c>
    </row>
    <row r="18" spans="1:12" ht="12.75">
      <c r="A18" s="9" t="s">
        <v>14</v>
      </c>
      <c r="B18" s="55">
        <f>7077</f>
        <v>7077</v>
      </c>
      <c r="C18" s="10">
        <v>2110</v>
      </c>
      <c r="D18" s="10">
        <v>2110</v>
      </c>
      <c r="E18" s="84" t="s">
        <v>63</v>
      </c>
      <c r="F18" s="10"/>
      <c r="G18" s="84" t="s">
        <v>63</v>
      </c>
      <c r="H18" s="10">
        <f t="shared" si="0"/>
        <v>2110</v>
      </c>
      <c r="I18" s="10">
        <f>789+1+3751+3068</f>
        <v>7609</v>
      </c>
      <c r="J18" s="31">
        <f>I18/D18*100</f>
        <v>360.61611374407585</v>
      </c>
      <c r="K18" s="31">
        <f>I18/H18*100</f>
        <v>360.61611374407585</v>
      </c>
      <c r="L18" s="48">
        <f t="shared" si="2"/>
        <v>107.51730959446093</v>
      </c>
    </row>
    <row r="19" spans="1:12" ht="12.75">
      <c r="A19" s="9" t="s">
        <v>15</v>
      </c>
      <c r="B19" s="55">
        <v>0</v>
      </c>
      <c r="C19" s="10"/>
      <c r="D19" s="10"/>
      <c r="E19" s="84" t="s">
        <v>63</v>
      </c>
      <c r="F19" s="10"/>
      <c r="G19" s="84" t="s">
        <v>63</v>
      </c>
      <c r="H19" s="10">
        <f t="shared" si="0"/>
        <v>0</v>
      </c>
      <c r="I19" s="10"/>
      <c r="J19" s="31"/>
      <c r="K19" s="31"/>
      <c r="L19" s="48"/>
    </row>
    <row r="20" spans="1:12" ht="12.75">
      <c r="A20" s="9" t="s">
        <v>16</v>
      </c>
      <c r="B20" s="55">
        <f>7923+1</f>
        <v>7924</v>
      </c>
      <c r="C20" s="10">
        <v>525</v>
      </c>
      <c r="D20" s="10">
        <v>525</v>
      </c>
      <c r="E20" s="84" t="s">
        <v>63</v>
      </c>
      <c r="F20" s="10"/>
      <c r="G20" s="84" t="s">
        <v>63</v>
      </c>
      <c r="H20" s="10">
        <f t="shared" si="0"/>
        <v>525</v>
      </c>
      <c r="I20" s="10">
        <v>412969</v>
      </c>
      <c r="J20" s="31">
        <f>I20/D20*100</f>
        <v>78660.76190476191</v>
      </c>
      <c r="K20" s="31">
        <f t="shared" si="1"/>
        <v>78660.76190476191</v>
      </c>
      <c r="L20" s="48">
        <f t="shared" si="2"/>
        <v>5211.622917718324</v>
      </c>
    </row>
    <row r="21" spans="1:12" ht="12.75">
      <c r="A21" s="9" t="s">
        <v>58</v>
      </c>
      <c r="B21" s="55"/>
      <c r="C21" s="10"/>
      <c r="D21" s="10"/>
      <c r="E21" s="84" t="s">
        <v>63</v>
      </c>
      <c r="F21" s="10"/>
      <c r="G21" s="84" t="s">
        <v>63</v>
      </c>
      <c r="H21" s="10">
        <f t="shared" si="0"/>
        <v>0</v>
      </c>
      <c r="I21" s="10"/>
      <c r="J21" s="31"/>
      <c r="K21" s="31"/>
      <c r="L21" s="48"/>
    </row>
    <row r="22" spans="1:12" ht="12.75">
      <c r="A22" s="54" t="s">
        <v>54</v>
      </c>
      <c r="B22" s="55">
        <f>499253+1-1</f>
        <v>499253</v>
      </c>
      <c r="C22" s="10">
        <v>291714</v>
      </c>
      <c r="D22" s="10">
        <f>200+291514</f>
        <v>291714</v>
      </c>
      <c r="E22" s="84" t="s">
        <v>63</v>
      </c>
      <c r="F22" s="10"/>
      <c r="G22" s="84" t="s">
        <v>63</v>
      </c>
      <c r="H22" s="10">
        <f t="shared" si="0"/>
        <v>291714</v>
      </c>
      <c r="I22" s="10">
        <f>528+450977+1</f>
        <v>451506</v>
      </c>
      <c r="J22" s="31">
        <f>I22/D22*100</f>
        <v>154.77693905674735</v>
      </c>
      <c r="K22" s="31">
        <f t="shared" si="1"/>
        <v>154.77693905674735</v>
      </c>
      <c r="L22" s="48">
        <f t="shared" si="2"/>
        <v>90.43631184990376</v>
      </c>
    </row>
    <row r="23" spans="1:12" ht="12.75">
      <c r="A23" s="9" t="s">
        <v>17</v>
      </c>
      <c r="B23" s="55">
        <f>37+1</f>
        <v>38</v>
      </c>
      <c r="C23" s="10"/>
      <c r="D23" s="10"/>
      <c r="E23" s="84" t="s">
        <v>63</v>
      </c>
      <c r="F23" s="10"/>
      <c r="G23" s="84" t="s">
        <v>63</v>
      </c>
      <c r="H23" s="10">
        <f t="shared" si="0"/>
        <v>0</v>
      </c>
      <c r="I23" s="10"/>
      <c r="J23" s="31"/>
      <c r="K23" s="31"/>
      <c r="L23" s="48">
        <f t="shared" si="2"/>
        <v>0</v>
      </c>
    </row>
    <row r="24" spans="1:12" ht="12.75">
      <c r="A24" s="54" t="s">
        <v>55</v>
      </c>
      <c r="B24" s="55"/>
      <c r="C24" s="10"/>
      <c r="D24" s="10"/>
      <c r="E24" s="84" t="s">
        <v>63</v>
      </c>
      <c r="F24" s="10"/>
      <c r="G24" s="84" t="s">
        <v>63</v>
      </c>
      <c r="H24" s="10">
        <f t="shared" si="0"/>
        <v>0</v>
      </c>
      <c r="I24" s="10"/>
      <c r="J24" s="31"/>
      <c r="K24" s="31"/>
      <c r="L24" s="48"/>
    </row>
    <row r="25" spans="1:12" ht="12.75" customHeight="1">
      <c r="A25" s="9" t="s">
        <v>18</v>
      </c>
      <c r="B25" s="55"/>
      <c r="C25" s="10"/>
      <c r="D25" s="10"/>
      <c r="E25" s="84" t="s">
        <v>63</v>
      </c>
      <c r="F25" s="10"/>
      <c r="G25" s="84" t="s">
        <v>63</v>
      </c>
      <c r="H25" s="10">
        <f t="shared" si="0"/>
        <v>0</v>
      </c>
      <c r="I25" s="10"/>
      <c r="J25" s="31"/>
      <c r="K25" s="31"/>
      <c r="L25" s="48"/>
    </row>
    <row r="26" spans="1:12" ht="12.75" customHeight="1">
      <c r="A26" s="9" t="s">
        <v>76</v>
      </c>
      <c r="B26" s="55">
        <v>120661</v>
      </c>
      <c r="C26" s="68">
        <v>345760</v>
      </c>
      <c r="D26" s="10">
        <v>345760</v>
      </c>
      <c r="E26" s="84" t="s">
        <v>63</v>
      </c>
      <c r="F26" s="10"/>
      <c r="G26" s="84" t="s">
        <v>63</v>
      </c>
      <c r="H26" s="10">
        <f t="shared" si="0"/>
        <v>345760</v>
      </c>
      <c r="I26" s="10">
        <f>123686+1</f>
        <v>123687</v>
      </c>
      <c r="J26" s="31">
        <f>I26/D26*100</f>
        <v>35.77250115687182</v>
      </c>
      <c r="K26" s="31">
        <f t="shared" si="1"/>
        <v>35.77250115687182</v>
      </c>
      <c r="L26" s="48">
        <f t="shared" si="2"/>
        <v>102.50785257871226</v>
      </c>
    </row>
    <row r="27" spans="1:12" ht="12.75" customHeight="1">
      <c r="A27" s="9" t="s">
        <v>56</v>
      </c>
      <c r="B27" s="55">
        <f>616+1</f>
        <v>617</v>
      </c>
      <c r="C27" s="68"/>
      <c r="D27" s="10"/>
      <c r="E27" s="84" t="s">
        <v>63</v>
      </c>
      <c r="F27" s="10">
        <v>297</v>
      </c>
      <c r="G27" s="84" t="s">
        <v>63</v>
      </c>
      <c r="H27" s="10">
        <f t="shared" si="0"/>
        <v>297</v>
      </c>
      <c r="I27" s="10">
        <v>297</v>
      </c>
      <c r="J27" s="31"/>
      <c r="K27" s="31">
        <f t="shared" si="1"/>
        <v>100</v>
      </c>
      <c r="L27" s="48">
        <f t="shared" si="2"/>
        <v>48.13614262560778</v>
      </c>
    </row>
    <row r="28" spans="1:12" ht="12.75" customHeight="1">
      <c r="A28" s="67" t="s">
        <v>77</v>
      </c>
      <c r="B28" s="79">
        <f>67304+1</f>
        <v>67305</v>
      </c>
      <c r="C28" s="68">
        <v>19520</v>
      </c>
      <c r="D28" s="68">
        <v>19520</v>
      </c>
      <c r="E28" s="84" t="s">
        <v>63</v>
      </c>
      <c r="F28" s="68"/>
      <c r="G28" s="84" t="s">
        <v>63</v>
      </c>
      <c r="H28" s="68">
        <f t="shared" si="0"/>
        <v>19520</v>
      </c>
      <c r="I28" s="68">
        <f>1301</f>
        <v>1301</v>
      </c>
      <c r="J28" s="69">
        <f>I28/D28*100</f>
        <v>6.664959016393443</v>
      </c>
      <c r="K28" s="69">
        <f t="shared" si="1"/>
        <v>6.664959016393443</v>
      </c>
      <c r="L28" s="70">
        <f t="shared" si="2"/>
        <v>1.932991605378501</v>
      </c>
    </row>
    <row r="29" spans="1:12" ht="13.5" thickBot="1">
      <c r="A29" s="5" t="s">
        <v>19</v>
      </c>
      <c r="B29" s="76">
        <f>13410+1</f>
        <v>13411</v>
      </c>
      <c r="C29" s="11"/>
      <c r="D29" s="11"/>
      <c r="E29" s="29" t="s">
        <v>63</v>
      </c>
      <c r="F29" s="11">
        <v>19</v>
      </c>
      <c r="G29" s="29" t="s">
        <v>63</v>
      </c>
      <c r="H29" s="11">
        <f t="shared" si="0"/>
        <v>19</v>
      </c>
      <c r="I29" s="11">
        <f>598+19</f>
        <v>617</v>
      </c>
      <c r="J29" s="60"/>
      <c r="K29" s="66">
        <f t="shared" si="1"/>
        <v>3247.3684210526317</v>
      </c>
      <c r="L29" s="58">
        <v>0</v>
      </c>
    </row>
    <row r="30" spans="1:12" ht="12.75">
      <c r="A30" s="4"/>
      <c r="B30" s="12"/>
      <c r="C30" s="12"/>
      <c r="D30" s="12"/>
      <c r="E30" s="12"/>
      <c r="F30" s="12"/>
      <c r="G30" s="12"/>
      <c r="H30" s="12"/>
      <c r="I30" s="12"/>
      <c r="J30" s="32"/>
      <c r="K30" s="32"/>
      <c r="L30" s="49"/>
    </row>
    <row r="31" spans="1:20" ht="12.75">
      <c r="A31" s="7" t="s">
        <v>20</v>
      </c>
      <c r="B31" s="8">
        <f aca="true" t="shared" si="3" ref="B31:G31">B33+B39</f>
        <v>4701315</v>
      </c>
      <c r="C31" s="72">
        <f t="shared" si="3"/>
        <v>2485343</v>
      </c>
      <c r="D31" s="72">
        <f t="shared" si="3"/>
        <v>5147479</v>
      </c>
      <c r="E31" s="72">
        <f t="shared" si="3"/>
        <v>1172382</v>
      </c>
      <c r="F31" s="72">
        <f t="shared" si="3"/>
        <v>316</v>
      </c>
      <c r="G31" s="174">
        <f t="shared" si="3"/>
        <v>-901</v>
      </c>
      <c r="H31" s="72">
        <f>D31+E31+F31+G31</f>
        <v>6319276</v>
      </c>
      <c r="I31" s="72">
        <f>I33+I39</f>
        <v>4821161</v>
      </c>
      <c r="J31" s="30">
        <f>I31/D31*100</f>
        <v>93.66062493892642</v>
      </c>
      <c r="K31" s="30">
        <f>I31/H31*100</f>
        <v>76.29293292459452</v>
      </c>
      <c r="L31" s="51">
        <f>I31/B31*100</f>
        <v>102.5492016595357</v>
      </c>
      <c r="N31" s="88"/>
      <c r="O31" s="88"/>
      <c r="P31" s="88"/>
      <c r="Q31" s="88"/>
      <c r="R31" s="88"/>
      <c r="S31" s="88"/>
      <c r="T31" s="88"/>
    </row>
    <row r="32" spans="1:20" ht="12.75">
      <c r="A32" s="9" t="s">
        <v>21</v>
      </c>
      <c r="B32" s="10"/>
      <c r="C32" s="10"/>
      <c r="D32" s="10"/>
      <c r="E32" s="10"/>
      <c r="F32" s="10"/>
      <c r="G32" s="175"/>
      <c r="H32" s="10"/>
      <c r="I32" s="10"/>
      <c r="J32" s="31"/>
      <c r="K32" s="31"/>
      <c r="L32" s="48"/>
      <c r="N32" s="88"/>
      <c r="O32" s="88"/>
      <c r="P32" s="88"/>
      <c r="Q32" s="88"/>
      <c r="R32" s="88"/>
      <c r="S32" s="88"/>
      <c r="T32" s="88"/>
    </row>
    <row r="33" spans="1:20" ht="12.75">
      <c r="A33" s="7" t="s">
        <v>22</v>
      </c>
      <c r="B33" s="8">
        <f aca="true" t="shared" si="4" ref="B33:G33">B35+B36+B37</f>
        <v>669012</v>
      </c>
      <c r="C33" s="44">
        <f t="shared" si="4"/>
        <v>367371</v>
      </c>
      <c r="D33" s="44">
        <f>D35+D36+D37</f>
        <v>2710484</v>
      </c>
      <c r="E33" s="44">
        <f t="shared" si="4"/>
        <v>447215</v>
      </c>
      <c r="F33" s="44">
        <f t="shared" si="4"/>
        <v>0</v>
      </c>
      <c r="G33" s="176">
        <f t="shared" si="4"/>
        <v>0</v>
      </c>
      <c r="H33" s="44">
        <f aca="true" t="shared" si="5" ref="H33:H57">D33+E33+F33+G33</f>
        <v>3157699</v>
      </c>
      <c r="I33" s="44">
        <f>I35+I36+I37</f>
        <v>2595165</v>
      </c>
      <c r="J33" s="30">
        <f>I33/D33*100</f>
        <v>95.74544620075234</v>
      </c>
      <c r="K33" s="30">
        <f>I33/H33*100</f>
        <v>82.18531912003012</v>
      </c>
      <c r="L33" s="51">
        <f>I33/B33*100</f>
        <v>387.9100823303618</v>
      </c>
      <c r="N33" s="88"/>
      <c r="O33" s="88"/>
      <c r="P33" s="88"/>
      <c r="Q33" s="88"/>
      <c r="R33" s="88"/>
      <c r="S33" s="88"/>
      <c r="T33" s="88"/>
    </row>
    <row r="34" spans="1:20" ht="12.75">
      <c r="A34" s="9" t="s">
        <v>23</v>
      </c>
      <c r="B34" s="10"/>
      <c r="C34" s="10"/>
      <c r="D34" s="10"/>
      <c r="E34" s="10"/>
      <c r="F34" s="10"/>
      <c r="G34" s="175"/>
      <c r="H34" s="10"/>
      <c r="I34" s="10"/>
      <c r="J34" s="31"/>
      <c r="K34" s="31"/>
      <c r="L34" s="48"/>
      <c r="N34" s="88"/>
      <c r="O34" s="88"/>
      <c r="P34" s="88"/>
      <c r="Q34" s="88"/>
      <c r="R34" s="88"/>
      <c r="S34" s="88"/>
      <c r="T34" s="88"/>
    </row>
    <row r="35" spans="1:20" ht="12.75">
      <c r="A35" s="9" t="s">
        <v>24</v>
      </c>
      <c r="B35" s="55">
        <f>311356+1-1</f>
        <v>311356</v>
      </c>
      <c r="C35" s="10">
        <v>334252</v>
      </c>
      <c r="D35" s="10">
        <f>351722+2500</f>
        <v>354222</v>
      </c>
      <c r="E35" s="10">
        <f>397732+1</f>
        <v>397733</v>
      </c>
      <c r="F35" s="10"/>
      <c r="G35" s="175"/>
      <c r="H35" s="10">
        <f t="shared" si="5"/>
        <v>751955</v>
      </c>
      <c r="I35" s="10">
        <f>235601+1</f>
        <v>235602</v>
      </c>
      <c r="J35" s="31">
        <f aca="true" t="shared" si="6" ref="J35:J61">I35/D35*100</f>
        <v>66.51252604298999</v>
      </c>
      <c r="K35" s="31">
        <f>I35/H35*100</f>
        <v>31.331928107400042</v>
      </c>
      <c r="L35" s="48">
        <f>I35/B35*100</f>
        <v>75.669651460065</v>
      </c>
      <c r="N35" s="88"/>
      <c r="O35" s="88"/>
      <c r="P35" s="88"/>
      <c r="Q35" s="88"/>
      <c r="R35" s="88"/>
      <c r="S35" s="88"/>
      <c r="T35" s="88"/>
    </row>
    <row r="36" spans="1:20" ht="12.75">
      <c r="A36" s="9" t="s">
        <v>25</v>
      </c>
      <c r="B36" s="55">
        <f>357655+1</f>
        <v>357656</v>
      </c>
      <c r="C36" s="10">
        <v>33119</v>
      </c>
      <c r="D36" s="10">
        <f>14887+4956+800+11782</f>
        <v>32425</v>
      </c>
      <c r="E36" s="10">
        <f>49482</f>
        <v>49482</v>
      </c>
      <c r="F36" s="10"/>
      <c r="G36" s="175"/>
      <c r="H36" s="10">
        <f t="shared" si="5"/>
        <v>81907</v>
      </c>
      <c r="I36" s="10">
        <f>6666+3322+693+1+25044</f>
        <v>35726</v>
      </c>
      <c r="J36" s="31">
        <f t="shared" si="6"/>
        <v>110.1804163454125</v>
      </c>
      <c r="K36" s="31">
        <f>I36/H36*100</f>
        <v>43.617761607677</v>
      </c>
      <c r="L36" s="48">
        <f>I36/B36*100</f>
        <v>9.988927908381239</v>
      </c>
      <c r="N36" s="88"/>
      <c r="O36" s="88"/>
      <c r="P36" s="88"/>
      <c r="Q36" s="88"/>
      <c r="R36" s="88"/>
      <c r="S36" s="88"/>
      <c r="T36" s="88"/>
    </row>
    <row r="37" spans="1:20" ht="12.75">
      <c r="A37" s="13" t="s">
        <v>90</v>
      </c>
      <c r="B37" s="14"/>
      <c r="C37" s="14"/>
      <c r="D37" s="14">
        <v>2323837</v>
      </c>
      <c r="E37" s="14"/>
      <c r="F37" s="14"/>
      <c r="G37" s="177"/>
      <c r="H37" s="14">
        <f t="shared" si="5"/>
        <v>2323837</v>
      </c>
      <c r="I37" s="14">
        <v>2323837</v>
      </c>
      <c r="J37" s="31">
        <f>I37/D37*100</f>
        <v>100</v>
      </c>
      <c r="K37" s="31">
        <f>I37/H37*100</f>
        <v>100</v>
      </c>
      <c r="L37" s="48"/>
      <c r="N37" s="88"/>
      <c r="O37" s="88"/>
      <c r="P37" s="88"/>
      <c r="Q37" s="88"/>
      <c r="R37" s="88"/>
      <c r="S37" s="88"/>
      <c r="T37" s="88"/>
    </row>
    <row r="38" spans="1:20" ht="12.75">
      <c r="A38" s="4"/>
      <c r="B38" s="12"/>
      <c r="C38" s="12"/>
      <c r="D38" s="12"/>
      <c r="E38" s="12"/>
      <c r="F38" s="12"/>
      <c r="G38" s="178"/>
      <c r="H38" s="12"/>
      <c r="I38" s="12"/>
      <c r="J38" s="32"/>
      <c r="K38" s="32"/>
      <c r="L38" s="49"/>
      <c r="N38" s="88"/>
      <c r="O38" s="88"/>
      <c r="P38" s="88"/>
      <c r="Q38" s="88"/>
      <c r="R38" s="88"/>
      <c r="S38" s="88"/>
      <c r="T38" s="88"/>
    </row>
    <row r="39" spans="1:20" ht="12.75">
      <c r="A39" s="7" t="s">
        <v>27</v>
      </c>
      <c r="B39" s="8">
        <f aca="true" t="shared" si="7" ref="B39:G39">B41+B44+B45+B46+B47</f>
        <v>4032303</v>
      </c>
      <c r="C39" s="8">
        <f t="shared" si="7"/>
        <v>2117972</v>
      </c>
      <c r="D39" s="8">
        <f>D41+D44+D45+D46+D47</f>
        <v>2436995</v>
      </c>
      <c r="E39" s="8">
        <f t="shared" si="7"/>
        <v>725167</v>
      </c>
      <c r="F39" s="8">
        <f t="shared" si="7"/>
        <v>316</v>
      </c>
      <c r="G39" s="174">
        <f t="shared" si="7"/>
        <v>-901</v>
      </c>
      <c r="H39" s="94">
        <f t="shared" si="5"/>
        <v>3161577</v>
      </c>
      <c r="I39" s="72">
        <f>I41+I44+I45+I46+I47</f>
        <v>2225996</v>
      </c>
      <c r="J39" s="30">
        <f t="shared" si="6"/>
        <v>91.34183697545542</v>
      </c>
      <c r="K39" s="30">
        <f>I39/H39*100</f>
        <v>70.40777434805479</v>
      </c>
      <c r="L39" s="51">
        <f>I39/B39*100</f>
        <v>55.20408560567</v>
      </c>
      <c r="N39" s="88"/>
      <c r="O39" s="88"/>
      <c r="P39" s="88"/>
      <c r="Q39" s="88"/>
      <c r="R39" s="88"/>
      <c r="S39" s="88"/>
      <c r="T39" s="88"/>
    </row>
    <row r="40" spans="1:20" ht="12.75">
      <c r="A40" s="9" t="s">
        <v>23</v>
      </c>
      <c r="B40" s="10"/>
      <c r="C40" s="10"/>
      <c r="D40" s="10"/>
      <c r="E40" s="10"/>
      <c r="F40" s="93"/>
      <c r="G40" s="179"/>
      <c r="H40" s="95">
        <f t="shared" si="5"/>
        <v>0</v>
      </c>
      <c r="I40" s="96"/>
      <c r="J40" s="169"/>
      <c r="K40" s="31"/>
      <c r="L40" s="48"/>
      <c r="N40" s="88"/>
      <c r="O40" s="88"/>
      <c r="P40" s="88"/>
      <c r="Q40" s="88"/>
      <c r="R40" s="88"/>
      <c r="S40" s="88"/>
      <c r="T40" s="88"/>
    </row>
    <row r="41" spans="1:20" ht="12.75">
      <c r="A41" s="15" t="s">
        <v>28</v>
      </c>
      <c r="B41" s="16">
        <f aca="true" t="shared" si="8" ref="B41:G41">B42+B43</f>
        <v>562843</v>
      </c>
      <c r="C41" s="16">
        <f t="shared" si="8"/>
        <v>666717</v>
      </c>
      <c r="D41" s="16">
        <f t="shared" si="8"/>
        <v>679201</v>
      </c>
      <c r="E41" s="16">
        <f t="shared" si="8"/>
        <v>21874</v>
      </c>
      <c r="F41" s="16">
        <f t="shared" si="8"/>
        <v>220</v>
      </c>
      <c r="G41" s="180">
        <f t="shared" si="8"/>
        <v>-606</v>
      </c>
      <c r="H41" s="16">
        <f t="shared" si="5"/>
        <v>700689</v>
      </c>
      <c r="I41" s="74">
        <f>I42+I43</f>
        <v>651091</v>
      </c>
      <c r="J41" s="101">
        <f t="shared" si="6"/>
        <v>95.86131351396715</v>
      </c>
      <c r="K41" s="34">
        <f aca="true" t="shared" si="9" ref="K41:K47">I41/H41*100</f>
        <v>92.92153865695052</v>
      </c>
      <c r="L41" s="52">
        <f aca="true" t="shared" si="10" ref="L41:L61">I41/B41*100</f>
        <v>115.6789726442365</v>
      </c>
      <c r="N41" s="89"/>
      <c r="O41" s="89"/>
      <c r="P41" s="88"/>
      <c r="Q41" s="88"/>
      <c r="R41" s="88"/>
      <c r="S41" s="88"/>
      <c r="T41" s="88"/>
    </row>
    <row r="42" spans="1:20" ht="12.75">
      <c r="A42" s="9" t="s">
        <v>29</v>
      </c>
      <c r="B42" s="55">
        <f>550914+1</f>
        <v>550915</v>
      </c>
      <c r="C42" s="10">
        <v>650411</v>
      </c>
      <c r="D42" s="10">
        <f>662305+1+567</f>
        <v>662873</v>
      </c>
      <c r="E42" s="10">
        <f>17377+70</f>
        <v>17447</v>
      </c>
      <c r="F42" s="10">
        <v>220</v>
      </c>
      <c r="G42" s="175"/>
      <c r="H42" s="10">
        <f t="shared" si="5"/>
        <v>680540</v>
      </c>
      <c r="I42" s="55">
        <f>638997+578</f>
        <v>639575</v>
      </c>
      <c r="J42" s="99">
        <f t="shared" si="6"/>
        <v>96.48529959735876</v>
      </c>
      <c r="K42" s="31">
        <f t="shared" si="9"/>
        <v>93.98051547300673</v>
      </c>
      <c r="L42" s="48">
        <f t="shared" si="10"/>
        <v>116.09322672281567</v>
      </c>
      <c r="N42" s="88"/>
      <c r="O42" s="90"/>
      <c r="P42" s="88"/>
      <c r="Q42" s="88"/>
      <c r="R42" s="88"/>
      <c r="S42" s="88"/>
      <c r="T42" s="88"/>
    </row>
    <row r="43" spans="1:20" ht="12.75">
      <c r="A43" s="43" t="s">
        <v>30</v>
      </c>
      <c r="B43" s="55">
        <f>11928+1-1</f>
        <v>11928</v>
      </c>
      <c r="C43" s="10">
        <v>16306</v>
      </c>
      <c r="D43" s="10">
        <f>13520+22+1281+1505</f>
        <v>16328</v>
      </c>
      <c r="E43" s="10">
        <f>4426+1</f>
        <v>4427</v>
      </c>
      <c r="F43" s="10"/>
      <c r="G43" s="175">
        <v>-606</v>
      </c>
      <c r="H43" s="10">
        <f t="shared" si="5"/>
        <v>20149</v>
      </c>
      <c r="I43" s="55">
        <f>9593+14+1+676+1+1231</f>
        <v>11516</v>
      </c>
      <c r="J43" s="99">
        <f t="shared" si="6"/>
        <v>70.52915237628613</v>
      </c>
      <c r="K43" s="31">
        <f t="shared" si="9"/>
        <v>57.15420120105216</v>
      </c>
      <c r="L43" s="48">
        <f t="shared" si="10"/>
        <v>96.5459423205902</v>
      </c>
      <c r="N43" s="89"/>
      <c r="O43" s="90"/>
      <c r="P43" s="88"/>
      <c r="Q43" s="88"/>
      <c r="R43" s="88"/>
      <c r="S43" s="88"/>
      <c r="T43" s="88"/>
    </row>
    <row r="44" spans="1:20" ht="12.75">
      <c r="A44" s="19" t="s">
        <v>31</v>
      </c>
      <c r="B44" s="86">
        <f>190558</f>
        <v>190558</v>
      </c>
      <c r="C44" s="20">
        <v>227023</v>
      </c>
      <c r="D44" s="20">
        <f>169909+1+147+61157+53</f>
        <v>231267</v>
      </c>
      <c r="E44" s="16">
        <f>7404+23+1</f>
        <v>7428</v>
      </c>
      <c r="F44" s="10">
        <f>74+1</f>
        <v>75</v>
      </c>
      <c r="G44" s="175">
        <f>-55-151</f>
        <v>-206</v>
      </c>
      <c r="H44" s="20">
        <f t="shared" si="5"/>
        <v>238564</v>
      </c>
      <c r="I44" s="86">
        <f>161760+141+1+58196+1+50+1</f>
        <v>220150</v>
      </c>
      <c r="J44" s="100">
        <f t="shared" si="6"/>
        <v>95.19300202795903</v>
      </c>
      <c r="K44" s="34">
        <f t="shared" si="9"/>
        <v>92.2813165439882</v>
      </c>
      <c r="L44" s="52">
        <f t="shared" si="10"/>
        <v>115.52913023856253</v>
      </c>
      <c r="N44" s="88"/>
      <c r="O44" s="88"/>
      <c r="P44" s="88"/>
      <c r="Q44" s="88"/>
      <c r="R44" s="88"/>
      <c r="S44" s="88"/>
      <c r="T44" s="88"/>
    </row>
    <row r="45" spans="1:12" ht="12.75">
      <c r="A45" s="19" t="s">
        <v>32</v>
      </c>
      <c r="B45" s="86">
        <f>5547+1</f>
        <v>5548</v>
      </c>
      <c r="C45" s="20">
        <v>6504</v>
      </c>
      <c r="D45" s="20">
        <f>6623+1+5+1</f>
        <v>6630</v>
      </c>
      <c r="E45" s="16">
        <f>217+1</f>
        <v>218</v>
      </c>
      <c r="F45" s="20">
        <v>2</v>
      </c>
      <c r="G45" s="180"/>
      <c r="H45" s="20">
        <f t="shared" si="5"/>
        <v>6850</v>
      </c>
      <c r="I45" s="86">
        <f>6431+5+1</f>
        <v>6437</v>
      </c>
      <c r="J45" s="100">
        <f t="shared" si="6"/>
        <v>97.08898944193062</v>
      </c>
      <c r="K45" s="34">
        <f t="shared" si="9"/>
        <v>93.97080291970804</v>
      </c>
      <c r="L45" s="52">
        <f t="shared" si="10"/>
        <v>116.02379235760634</v>
      </c>
    </row>
    <row r="46" spans="1:12" ht="12.75">
      <c r="A46" s="15" t="s">
        <v>33</v>
      </c>
      <c r="B46" s="86">
        <v>0</v>
      </c>
      <c r="C46" s="16">
        <v>0</v>
      </c>
      <c r="D46" s="20"/>
      <c r="E46" s="34"/>
      <c r="F46" s="35"/>
      <c r="G46" s="181"/>
      <c r="H46" s="20">
        <f t="shared" si="5"/>
        <v>0</v>
      </c>
      <c r="I46" s="86">
        <v>0</v>
      </c>
      <c r="J46" s="100"/>
      <c r="K46" s="31"/>
      <c r="L46" s="48"/>
    </row>
    <row r="47" spans="1:12" ht="12.75">
      <c r="A47" s="15" t="s">
        <v>34</v>
      </c>
      <c r="B47" s="16">
        <f aca="true" t="shared" si="11" ref="B47:G47">B49+B50+B51+B53+B57</f>
        <v>3273354</v>
      </c>
      <c r="C47" s="16">
        <f t="shared" si="11"/>
        <v>1217728</v>
      </c>
      <c r="D47" s="16">
        <f t="shared" si="11"/>
        <v>1519897</v>
      </c>
      <c r="E47" s="16">
        <f t="shared" si="11"/>
        <v>695647</v>
      </c>
      <c r="F47" s="16">
        <f t="shared" si="11"/>
        <v>19</v>
      </c>
      <c r="G47" s="180">
        <f t="shared" si="11"/>
        <v>-89</v>
      </c>
      <c r="H47" s="16">
        <f t="shared" si="5"/>
        <v>2215474</v>
      </c>
      <c r="I47" s="74">
        <f>I49+I50+I51+I53+I57</f>
        <v>1348318</v>
      </c>
      <c r="J47" s="101">
        <f t="shared" si="6"/>
        <v>88.7111429261325</v>
      </c>
      <c r="K47" s="34">
        <f t="shared" si="9"/>
        <v>60.859120892414</v>
      </c>
      <c r="L47" s="52">
        <f t="shared" si="10"/>
        <v>41.19071753314796</v>
      </c>
    </row>
    <row r="48" spans="1:12" ht="12.75">
      <c r="A48" s="9" t="s">
        <v>35</v>
      </c>
      <c r="B48" s="10"/>
      <c r="C48" s="10"/>
      <c r="D48" s="10"/>
      <c r="E48" s="10"/>
      <c r="F48" s="10"/>
      <c r="G48" s="175"/>
      <c r="H48" s="10"/>
      <c r="I48" s="103"/>
      <c r="J48" s="99"/>
      <c r="K48" s="31"/>
      <c r="L48" s="48"/>
    </row>
    <row r="49" spans="1:12" ht="12.75">
      <c r="A49" s="9" t="s">
        <v>36</v>
      </c>
      <c r="B49" s="55">
        <f>446+1+34606</f>
        <v>35053</v>
      </c>
      <c r="C49" s="10">
        <f>712+70+1258+9920+15853</f>
        <v>27813</v>
      </c>
      <c r="D49" s="10">
        <f>710+10+90+1198+45+237+14550+1+3+18332</f>
        <v>35176</v>
      </c>
      <c r="E49" s="10">
        <v>13291</v>
      </c>
      <c r="F49" s="10"/>
      <c r="G49" s="175"/>
      <c r="H49" s="10">
        <f t="shared" si="5"/>
        <v>48467</v>
      </c>
      <c r="I49" s="55">
        <f>19+1+3+60+1+803+20+171+1+6404+11688+1-1</f>
        <v>19171</v>
      </c>
      <c r="J49" s="99">
        <f t="shared" si="6"/>
        <v>54.50022742779168</v>
      </c>
      <c r="K49" s="31">
        <f aca="true" t="shared" si="12" ref="K49:K61">I49/H49*100</f>
        <v>39.554748591825366</v>
      </c>
      <c r="L49" s="48">
        <f t="shared" si="10"/>
        <v>54.69146720680113</v>
      </c>
    </row>
    <row r="50" spans="1:12" ht="12.75">
      <c r="A50" s="9" t="s">
        <v>37</v>
      </c>
      <c r="B50" s="55">
        <f>525+32364</f>
        <v>32889</v>
      </c>
      <c r="C50" s="10">
        <f>2035+5130+2500+33505+2200</f>
        <v>45370</v>
      </c>
      <c r="D50" s="10">
        <f>29+2107+7403+95+2800+248+19041+4075</f>
        <v>35798</v>
      </c>
      <c r="E50" s="55">
        <v>21363</v>
      </c>
      <c r="F50" s="10"/>
      <c r="G50" s="175"/>
      <c r="H50" s="10">
        <f t="shared" si="5"/>
        <v>57161</v>
      </c>
      <c r="I50" s="55">
        <f>-24-1+1519+4557+1-78+2587+28+24894+1+2258+1</f>
        <v>35743</v>
      </c>
      <c r="J50" s="99">
        <f t="shared" si="6"/>
        <v>99.84636013185094</v>
      </c>
      <c r="K50" s="31">
        <f t="shared" si="12"/>
        <v>62.53039659907979</v>
      </c>
      <c r="L50" s="48">
        <f t="shared" si="10"/>
        <v>108.67767338623855</v>
      </c>
    </row>
    <row r="51" spans="1:12" ht="12.75">
      <c r="A51" s="9" t="s">
        <v>38</v>
      </c>
      <c r="B51" s="55">
        <f>246+48+1+972577+1</f>
        <v>972873</v>
      </c>
      <c r="C51" s="10">
        <f>2771+68072+1840+45768+59091+16631+29236+756965</f>
        <v>980374</v>
      </c>
      <c r="D51" s="10">
        <f>1185+88731+1815+153008+67740+70+11516+71680+548+822869+1+2205</f>
        <v>1221368</v>
      </c>
      <c r="E51" s="55">
        <f>490491+1350</f>
        <v>491841</v>
      </c>
      <c r="F51" s="10"/>
      <c r="G51" s="175"/>
      <c r="H51" s="10">
        <f t="shared" si="5"/>
        <v>1713209</v>
      </c>
      <c r="I51" s="55">
        <f>1027+84369+688+134174+59695+6217+67508+1+281+682490+1+1910+1+1</f>
        <v>1038363</v>
      </c>
      <c r="J51" s="99">
        <f t="shared" si="6"/>
        <v>85.01639145613771</v>
      </c>
      <c r="K51" s="31">
        <f t="shared" si="12"/>
        <v>60.60924265515766</v>
      </c>
      <c r="L51" s="48">
        <f t="shared" si="10"/>
        <v>106.73160833942354</v>
      </c>
    </row>
    <row r="52" spans="1:12" ht="12.75">
      <c r="A52" s="9" t="s">
        <v>39</v>
      </c>
      <c r="B52" s="55">
        <v>121056</v>
      </c>
      <c r="C52" s="10">
        <v>45768</v>
      </c>
      <c r="D52" s="10">
        <v>153008</v>
      </c>
      <c r="E52" s="55">
        <v>16337</v>
      </c>
      <c r="F52" s="10"/>
      <c r="G52" s="175"/>
      <c r="H52" s="10">
        <f t="shared" si="5"/>
        <v>169345</v>
      </c>
      <c r="I52" s="55">
        <v>134174</v>
      </c>
      <c r="J52" s="99">
        <f t="shared" si="6"/>
        <v>87.69083969465649</v>
      </c>
      <c r="K52" s="31">
        <f t="shared" si="12"/>
        <v>79.23115533378606</v>
      </c>
      <c r="L52" s="48">
        <f t="shared" si="10"/>
        <v>110.83630716362676</v>
      </c>
    </row>
    <row r="53" spans="1:12" ht="12.75">
      <c r="A53" s="9" t="s">
        <v>40</v>
      </c>
      <c r="B53" s="55">
        <f>588+6+1+76324+1</f>
        <v>76920</v>
      </c>
      <c r="C53" s="10">
        <f>52442+2892+64668+1246+1976+1010+72</f>
        <v>124306</v>
      </c>
      <c r="D53" s="10">
        <f>735+45377+2810+13+65076+1246+2026+1103+92</f>
        <v>118478</v>
      </c>
      <c r="E53" s="55">
        <f>18245+1+32</f>
        <v>18278</v>
      </c>
      <c r="F53" s="10"/>
      <c r="G53" s="175"/>
      <c r="H53" s="10">
        <f t="shared" si="5"/>
        <v>136756</v>
      </c>
      <c r="I53" s="55">
        <f>682+1+39708+443+1+29968+1+860+573+1114+19+1</f>
        <v>73371</v>
      </c>
      <c r="J53" s="99">
        <f t="shared" si="6"/>
        <v>61.92795286888705</v>
      </c>
      <c r="K53" s="31">
        <f t="shared" si="12"/>
        <v>53.65102810845593</v>
      </c>
      <c r="L53" s="48">
        <f t="shared" si="10"/>
        <v>95.38611544461779</v>
      </c>
    </row>
    <row r="54" spans="1:12" ht="12.75">
      <c r="A54" s="9" t="s">
        <v>41</v>
      </c>
      <c r="B54" s="55">
        <f>588+6+1+45153+1</f>
        <v>45749</v>
      </c>
      <c r="C54" s="10">
        <v>52442</v>
      </c>
      <c r="D54" s="10">
        <f>735+45377</f>
        <v>46112</v>
      </c>
      <c r="E54" s="55">
        <v>11132</v>
      </c>
      <c r="F54" s="10"/>
      <c r="G54" s="175"/>
      <c r="H54" s="10">
        <f t="shared" si="5"/>
        <v>57244</v>
      </c>
      <c r="I54" s="55">
        <f>682+1+39708</f>
        <v>40391</v>
      </c>
      <c r="J54" s="99">
        <f t="shared" si="6"/>
        <v>87.59325121443442</v>
      </c>
      <c r="K54" s="31">
        <f t="shared" si="12"/>
        <v>70.55935993291872</v>
      </c>
      <c r="L54" s="48">
        <f t="shared" si="10"/>
        <v>88.2882685960349</v>
      </c>
    </row>
    <row r="55" spans="1:12" ht="12.75">
      <c r="A55" s="9" t="s">
        <v>69</v>
      </c>
      <c r="B55" s="55">
        <v>458</v>
      </c>
      <c r="C55" s="10">
        <v>2892</v>
      </c>
      <c r="D55" s="10">
        <v>2810</v>
      </c>
      <c r="E55" s="55">
        <v>216</v>
      </c>
      <c r="F55" s="10"/>
      <c r="G55" s="175"/>
      <c r="H55" s="10">
        <f t="shared" si="5"/>
        <v>3026</v>
      </c>
      <c r="I55" s="55">
        <v>443</v>
      </c>
      <c r="J55" s="99">
        <f t="shared" si="6"/>
        <v>15.765124555160142</v>
      </c>
      <c r="K55" s="31">
        <f t="shared" si="12"/>
        <v>14.639788499669532</v>
      </c>
      <c r="L55" s="48">
        <f t="shared" si="10"/>
        <v>96.72489082969432</v>
      </c>
    </row>
    <row r="56" spans="1:12" ht="12.75">
      <c r="A56" s="9" t="s">
        <v>43</v>
      </c>
      <c r="B56" s="55">
        <f>28232</f>
        <v>28232</v>
      </c>
      <c r="C56" s="10">
        <v>64668</v>
      </c>
      <c r="D56" s="10">
        <f>13+65076</f>
        <v>65089</v>
      </c>
      <c r="E56" s="55">
        <f>6804+1+32</f>
        <v>6837</v>
      </c>
      <c r="F56" s="10"/>
      <c r="G56" s="175"/>
      <c r="H56" s="10">
        <f t="shared" si="5"/>
        <v>71926</v>
      </c>
      <c r="I56" s="55">
        <f>29968+1</f>
        <v>29969</v>
      </c>
      <c r="J56" s="99">
        <f t="shared" si="6"/>
        <v>46.04311020295288</v>
      </c>
      <c r="K56" s="31">
        <f t="shared" si="12"/>
        <v>41.66643494702889</v>
      </c>
      <c r="L56" s="48">
        <f t="shared" si="10"/>
        <v>106.15259280249363</v>
      </c>
    </row>
    <row r="57" spans="1:12" ht="13.5" thickBot="1">
      <c r="A57" s="41" t="s">
        <v>44</v>
      </c>
      <c r="B57" s="75">
        <f>327+1+21+13972+1+6000+33142+1+3266+12101+1+714+2086070+2</f>
        <v>2155619</v>
      </c>
      <c r="C57" s="42">
        <f>500+2163+6569+5000+3290+4623+550+120+1050+16000</f>
        <v>39865</v>
      </c>
      <c r="D57" s="42">
        <f>500+238+12085+5000+7119+9823+682+57630+16000</f>
        <v>109077</v>
      </c>
      <c r="E57" s="42">
        <f>58844+1+6276+1+14264+6764+63323+1+1400</f>
        <v>150874</v>
      </c>
      <c r="F57" s="42">
        <v>19</v>
      </c>
      <c r="G57" s="182">
        <f>-88-1</f>
        <v>-89</v>
      </c>
      <c r="H57" s="42">
        <f t="shared" si="5"/>
        <v>259881</v>
      </c>
      <c r="I57" s="75">
        <f>426+0+19311+1+5000+7220+1+15103+2+7399+2+110462+16742+1</f>
        <v>181670</v>
      </c>
      <c r="J57" s="102">
        <f t="shared" si="6"/>
        <v>166.5520687220954</v>
      </c>
      <c r="K57" s="46">
        <f t="shared" si="12"/>
        <v>69.90507193677105</v>
      </c>
      <c r="L57" s="50">
        <f t="shared" si="10"/>
        <v>8.427741637088928</v>
      </c>
    </row>
    <row r="58" spans="1:12" ht="12.75">
      <c r="A58" s="54" t="s">
        <v>45</v>
      </c>
      <c r="B58" s="55">
        <v>1121</v>
      </c>
      <c r="C58" s="55">
        <v>1348</v>
      </c>
      <c r="D58" s="55">
        <v>1379</v>
      </c>
      <c r="E58" s="55">
        <v>0</v>
      </c>
      <c r="F58" s="55"/>
      <c r="G58" s="55"/>
      <c r="H58" s="196">
        <f>D58+E58+F58</f>
        <v>1379</v>
      </c>
      <c r="I58" s="55">
        <v>1295</v>
      </c>
      <c r="J58" s="99">
        <f t="shared" si="6"/>
        <v>93.90862944162437</v>
      </c>
      <c r="K58" s="99">
        <f t="shared" si="12"/>
        <v>93.90862944162437</v>
      </c>
      <c r="L58" s="129">
        <f t="shared" si="10"/>
        <v>115.52185548617307</v>
      </c>
    </row>
    <row r="59" spans="1:12" ht="12.75" hidden="1">
      <c r="A59" s="54" t="s">
        <v>85</v>
      </c>
      <c r="B59" s="55">
        <v>396971</v>
      </c>
      <c r="C59" s="55">
        <v>650411</v>
      </c>
      <c r="D59" s="55"/>
      <c r="E59" s="55"/>
      <c r="F59" s="55"/>
      <c r="G59" s="55"/>
      <c r="H59" s="133">
        <f>D59+E59+F59</f>
        <v>0</v>
      </c>
      <c r="I59" s="55"/>
      <c r="J59" s="99" t="e">
        <f t="shared" si="6"/>
        <v>#DIV/0!</v>
      </c>
      <c r="K59" s="99" t="e">
        <f t="shared" si="12"/>
        <v>#DIV/0!</v>
      </c>
      <c r="L59" s="129">
        <f t="shared" si="10"/>
        <v>0</v>
      </c>
    </row>
    <row r="60" spans="1:12" ht="12.75">
      <c r="A60" s="54" t="s">
        <v>46</v>
      </c>
      <c r="B60" s="55">
        <f>B42/B58/12*1000</f>
        <v>40954.133214391906</v>
      </c>
      <c r="C60" s="55">
        <f>C42/C58/12*1000</f>
        <v>40208.395153313555</v>
      </c>
      <c r="D60" s="55">
        <f>D42/D58/12*1000</f>
        <v>40057.59004109258</v>
      </c>
      <c r="E60" s="55">
        <v>1054</v>
      </c>
      <c r="F60" s="55"/>
      <c r="G60" s="55"/>
      <c r="H60" s="55">
        <f>H42/H58/12*1000</f>
        <v>41125.21150592217</v>
      </c>
      <c r="I60" s="55">
        <f>I42/I58/12*1000</f>
        <v>41156.692406692404</v>
      </c>
      <c r="J60" s="99">
        <f t="shared" si="6"/>
        <v>102.74380551718743</v>
      </c>
      <c r="K60" s="99">
        <f t="shared" si="12"/>
        <v>100.07654890909363</v>
      </c>
      <c r="L60" s="129">
        <f t="shared" si="10"/>
        <v>100.49460012067675</v>
      </c>
    </row>
    <row r="61" spans="1:13" ht="13.5" thickBot="1">
      <c r="A61" s="193" t="s">
        <v>47</v>
      </c>
      <c r="B61" s="76">
        <f>B47/B58*1000</f>
        <v>2920030.3300624443</v>
      </c>
      <c r="C61" s="76">
        <f>C47/C58*1000</f>
        <v>903359.0504451039</v>
      </c>
      <c r="D61" s="76">
        <f>D47/D58*1000</f>
        <v>1102173.313995649</v>
      </c>
      <c r="E61" s="197"/>
      <c r="F61" s="76"/>
      <c r="G61" s="76"/>
      <c r="H61" s="76">
        <f>H47/H58*1000</f>
        <v>1606580.1305293692</v>
      </c>
      <c r="I61" s="76">
        <f>I47/I58*1000</f>
        <v>1041172.2007722007</v>
      </c>
      <c r="J61" s="138">
        <f t="shared" si="6"/>
        <v>94.46537922404377</v>
      </c>
      <c r="K61" s="198">
        <f t="shared" si="12"/>
        <v>64.8067395448949</v>
      </c>
      <c r="L61" s="199">
        <f t="shared" si="10"/>
        <v>35.65621185687943</v>
      </c>
      <c r="M61" s="21"/>
    </row>
    <row r="63" ht="12.75">
      <c r="A63" s="1" t="s">
        <v>61</v>
      </c>
    </row>
    <row r="64" spans="1:2" ht="12.75">
      <c r="A64" s="82" t="s">
        <v>71</v>
      </c>
      <c r="B64" s="71"/>
    </row>
    <row r="65" ht="12.75">
      <c r="A65" s="82" t="s">
        <v>66</v>
      </c>
    </row>
    <row r="66" ht="12.75">
      <c r="A66" s="82" t="s">
        <v>72</v>
      </c>
    </row>
    <row r="67" ht="12.75">
      <c r="A67" s="1" t="s">
        <v>68</v>
      </c>
    </row>
    <row r="68" ht="12.75">
      <c r="A68" s="1" t="s">
        <v>70</v>
      </c>
    </row>
    <row r="69" spans="1:11" ht="12.75">
      <c r="A69" s="235" t="s">
        <v>67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</row>
  </sheetData>
  <sheetProtection/>
  <mergeCells count="1">
    <mergeCell ref="A69:K69"/>
  </mergeCells>
  <printOptions/>
  <pageMargins left="0.9448818897637796" right="0" top="0.984251968503937" bottom="0" header="0.5118110236220472" footer="0.5118110236220472"/>
  <pageSetup horizontalDpi="600" verticalDpi="600" orientation="portrait" paperSize="9" scale="73" r:id="rId1"/>
  <headerFooter alignWithMargins="0">
    <oddHeader>&amp;R&amp;"Arial CE,Tučné"&amp;12&amp;UPříloha č. 3 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O18" sqref="O18"/>
    </sheetView>
  </sheetViews>
  <sheetFormatPr defaultColWidth="9.125" defaultRowHeight="12.75"/>
  <cols>
    <col min="1" max="1" width="33.125" style="88" customWidth="1"/>
    <col min="2" max="2" width="10.125" style="89" customWidth="1"/>
    <col min="3" max="3" width="9.25390625" style="88" customWidth="1"/>
    <col min="4" max="4" width="9.75390625" style="88" customWidth="1"/>
    <col min="5" max="5" width="9.00390625" style="88" customWidth="1"/>
    <col min="6" max="6" width="8.375" style="88" customWidth="1"/>
    <col min="7" max="7" width="11.125" style="88" hidden="1" customWidth="1"/>
    <col min="8" max="8" width="8.875" style="88" customWidth="1"/>
    <col min="9" max="9" width="9.125" style="88" customWidth="1"/>
    <col min="10" max="10" width="8.375" style="88" customWidth="1"/>
    <col min="11" max="11" width="8.00390625" style="88" customWidth="1"/>
    <col min="12" max="12" width="8.125" style="88" customWidth="1"/>
    <col min="13" max="16384" width="9.125" style="88" customWidth="1"/>
  </cols>
  <sheetData>
    <row r="1" spans="1:2" ht="12.75">
      <c r="A1" s="97" t="s">
        <v>74</v>
      </c>
      <c r="B1" s="224"/>
    </row>
    <row r="2" ht="12.75">
      <c r="A2" s="88" t="s">
        <v>86</v>
      </c>
    </row>
    <row r="3" spans="2:12" ht="13.5" thickBot="1">
      <c r="B3" s="104"/>
      <c r="I3" s="105"/>
      <c r="J3" s="105"/>
      <c r="L3" s="106"/>
    </row>
    <row r="4" spans="1:12" ht="12.75">
      <c r="A4" s="225"/>
      <c r="B4" s="107">
        <v>2012</v>
      </c>
      <c r="C4" s="108"/>
      <c r="D4" s="203">
        <v>2013</v>
      </c>
      <c r="E4" s="108"/>
      <c r="F4" s="108"/>
      <c r="G4" s="108"/>
      <c r="H4" s="108"/>
      <c r="I4" s="108"/>
      <c r="J4" s="108"/>
      <c r="K4" s="109"/>
      <c r="L4" s="110" t="s">
        <v>84</v>
      </c>
    </row>
    <row r="5" spans="1:12" ht="12.75">
      <c r="A5" s="226" t="s">
        <v>0</v>
      </c>
      <c r="B5" s="77" t="s">
        <v>1</v>
      </c>
      <c r="C5" s="111" t="s">
        <v>89</v>
      </c>
      <c r="D5" s="112"/>
      <c r="E5" s="113"/>
      <c r="F5" s="113"/>
      <c r="G5" s="113"/>
      <c r="H5" s="113"/>
      <c r="I5" s="114" t="s">
        <v>1</v>
      </c>
      <c r="J5" s="114" t="s">
        <v>2</v>
      </c>
      <c r="K5" s="114" t="s">
        <v>2</v>
      </c>
      <c r="L5" s="110" t="s">
        <v>3</v>
      </c>
    </row>
    <row r="6" spans="1:12" ht="13.5" thickBot="1">
      <c r="A6" s="193"/>
      <c r="B6" s="115" t="s">
        <v>87</v>
      </c>
      <c r="C6" s="116" t="s">
        <v>4</v>
      </c>
      <c r="D6" s="116" t="s">
        <v>62</v>
      </c>
      <c r="E6" s="117" t="s">
        <v>59</v>
      </c>
      <c r="F6" s="117" t="s">
        <v>79</v>
      </c>
      <c r="G6" s="173" t="s">
        <v>80</v>
      </c>
      <c r="H6" s="117" t="s">
        <v>64</v>
      </c>
      <c r="I6" s="115" t="s">
        <v>87</v>
      </c>
      <c r="J6" s="116" t="s">
        <v>78</v>
      </c>
      <c r="K6" s="116" t="s">
        <v>65</v>
      </c>
      <c r="L6" s="118" t="s">
        <v>5</v>
      </c>
    </row>
    <row r="7" spans="1:12" ht="13.5" thickBot="1">
      <c r="A7" s="193" t="s">
        <v>6</v>
      </c>
      <c r="B7" s="7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20" t="s">
        <v>81</v>
      </c>
      <c r="K7" s="121" t="s">
        <v>82</v>
      </c>
      <c r="L7" s="120" t="s">
        <v>83</v>
      </c>
    </row>
    <row r="8" spans="1:12" ht="12.75">
      <c r="A8" s="227" t="s">
        <v>7</v>
      </c>
      <c r="B8" s="72">
        <f>SUM(B10:B29)</f>
        <v>1437312</v>
      </c>
      <c r="C8" s="72">
        <f>SUM(C10:C29)</f>
        <v>497826</v>
      </c>
      <c r="D8" s="122">
        <f>SUM(D10:D29)</f>
        <v>497826</v>
      </c>
      <c r="E8" s="123" t="s">
        <v>63</v>
      </c>
      <c r="F8" s="122">
        <f>SUM(F10:F29)</f>
        <v>1054</v>
      </c>
      <c r="G8" s="123" t="s">
        <v>63</v>
      </c>
      <c r="H8" s="122">
        <f>D8+F8</f>
        <v>498880</v>
      </c>
      <c r="I8" s="122">
        <f>I10+I12+I14+I15+I16+I17+I18+I19+I20+I21+I22+I23+I24+I26+I27+I28+I29</f>
        <v>505702</v>
      </c>
      <c r="J8" s="124">
        <f>I8/D8*100</f>
        <v>101.58207887896576</v>
      </c>
      <c r="K8" s="124">
        <f>I8/H8*100</f>
        <v>101.36746311738294</v>
      </c>
      <c r="L8" s="125">
        <f>I8/B8*100</f>
        <v>35.18387100365126</v>
      </c>
    </row>
    <row r="9" spans="1:12" ht="12.75">
      <c r="A9" s="54" t="s">
        <v>8</v>
      </c>
      <c r="B9" s="55"/>
      <c r="C9" s="55"/>
      <c r="D9" s="126"/>
      <c r="E9" s="127"/>
      <c r="F9" s="126"/>
      <c r="G9" s="127"/>
      <c r="H9" s="126"/>
      <c r="I9" s="126"/>
      <c r="J9" s="128"/>
      <c r="K9" s="128"/>
      <c r="L9" s="129"/>
    </row>
    <row r="10" spans="1:12" ht="12.75">
      <c r="A10" s="223" t="s">
        <v>57</v>
      </c>
      <c r="B10" s="205">
        <v>1107116</v>
      </c>
      <c r="C10" s="55">
        <v>344000</v>
      </c>
      <c r="D10" s="55">
        <v>344000</v>
      </c>
      <c r="E10" s="130" t="s">
        <v>63</v>
      </c>
      <c r="F10" s="55"/>
      <c r="G10" s="130" t="s">
        <v>63</v>
      </c>
      <c r="H10" s="55">
        <f aca="true" t="shared" si="0" ref="H10:H29">D10+F10</f>
        <v>344000</v>
      </c>
      <c r="I10" s="126">
        <v>108259</v>
      </c>
      <c r="J10" s="99">
        <f aca="true" t="shared" si="1" ref="J10:J28">I10/D10*100</f>
        <v>31.47063953488372</v>
      </c>
      <c r="K10" s="99">
        <f>I10/H10*100</f>
        <v>31.47063953488372</v>
      </c>
      <c r="L10" s="129"/>
    </row>
    <row r="11" spans="1:12" ht="12.75">
      <c r="A11" s="223" t="s">
        <v>91</v>
      </c>
      <c r="B11" s="205"/>
      <c r="C11" s="55"/>
      <c r="D11" s="55"/>
      <c r="E11" s="130" t="s">
        <v>63</v>
      </c>
      <c r="F11" s="55"/>
      <c r="G11" s="130" t="s">
        <v>63</v>
      </c>
      <c r="H11" s="55"/>
      <c r="I11" s="126">
        <v>259</v>
      </c>
      <c r="J11" s="99"/>
      <c r="K11" s="99"/>
      <c r="L11" s="129"/>
    </row>
    <row r="12" spans="1:12" ht="12.75">
      <c r="A12" s="223" t="s">
        <v>9</v>
      </c>
      <c r="B12" s="205"/>
      <c r="C12" s="55"/>
      <c r="D12" s="55"/>
      <c r="E12" s="130" t="s">
        <v>63</v>
      </c>
      <c r="F12" s="55"/>
      <c r="G12" s="130" t="s">
        <v>63</v>
      </c>
      <c r="H12" s="55">
        <f t="shared" si="0"/>
        <v>0</v>
      </c>
      <c r="I12" s="126">
        <v>0</v>
      </c>
      <c r="J12" s="99"/>
      <c r="K12" s="100"/>
      <c r="L12" s="129"/>
    </row>
    <row r="13" spans="1:12" ht="12.75">
      <c r="A13" s="223" t="s">
        <v>10</v>
      </c>
      <c r="B13" s="205"/>
      <c r="C13" s="55"/>
      <c r="D13" s="55"/>
      <c r="E13" s="130" t="s">
        <v>63</v>
      </c>
      <c r="F13" s="55"/>
      <c r="G13" s="130" t="s">
        <v>63</v>
      </c>
      <c r="H13" s="55">
        <f t="shared" si="0"/>
        <v>0</v>
      </c>
      <c r="I13" s="126">
        <v>0</v>
      </c>
      <c r="J13" s="99"/>
      <c r="K13" s="100"/>
      <c r="L13" s="129"/>
    </row>
    <row r="14" spans="1:12" ht="12.75">
      <c r="A14" s="54" t="s">
        <v>11</v>
      </c>
      <c r="B14" s="206">
        <v>510</v>
      </c>
      <c r="C14" s="55">
        <v>148</v>
      </c>
      <c r="D14" s="55">
        <v>118</v>
      </c>
      <c r="E14" s="130" t="s">
        <v>63</v>
      </c>
      <c r="F14" s="55"/>
      <c r="G14" s="130" t="s">
        <v>63</v>
      </c>
      <c r="H14" s="55">
        <f t="shared" si="0"/>
        <v>118</v>
      </c>
      <c r="I14" s="131">
        <v>796</v>
      </c>
      <c r="J14" s="99">
        <f t="shared" si="1"/>
        <v>674.5762711864406</v>
      </c>
      <c r="K14" s="132">
        <f>I14/H14*100</f>
        <v>674.5762711864406</v>
      </c>
      <c r="L14" s="129">
        <f>I14/B14*100</f>
        <v>156.07843137254903</v>
      </c>
    </row>
    <row r="15" spans="1:12" ht="12.75">
      <c r="A15" s="53" t="s">
        <v>53</v>
      </c>
      <c r="B15" s="206"/>
      <c r="C15" s="55"/>
      <c r="D15" s="55"/>
      <c r="E15" s="130" t="s">
        <v>63</v>
      </c>
      <c r="F15" s="55"/>
      <c r="G15" s="130" t="s">
        <v>63</v>
      </c>
      <c r="H15" s="55">
        <f t="shared" si="0"/>
        <v>0</v>
      </c>
      <c r="I15" s="131"/>
      <c r="J15" s="99"/>
      <c r="K15" s="132"/>
      <c r="L15" s="129"/>
    </row>
    <row r="16" spans="1:12" ht="12.75">
      <c r="A16" s="54" t="s">
        <v>12</v>
      </c>
      <c r="B16" s="206">
        <v>30187</v>
      </c>
      <c r="C16" s="55">
        <v>24218</v>
      </c>
      <c r="D16" s="55">
        <v>24261</v>
      </c>
      <c r="E16" s="130" t="s">
        <v>63</v>
      </c>
      <c r="F16" s="55"/>
      <c r="G16" s="130" t="s">
        <v>63</v>
      </c>
      <c r="H16" s="55">
        <f t="shared" si="0"/>
        <v>24261</v>
      </c>
      <c r="I16" s="131">
        <v>30564</v>
      </c>
      <c r="J16" s="99">
        <f t="shared" si="1"/>
        <v>125.97996784963522</v>
      </c>
      <c r="K16" s="132">
        <f>I16/H16*100</f>
        <v>125.97996784963522</v>
      </c>
      <c r="L16" s="129">
        <f>I16/B16*100</f>
        <v>101.24888196905952</v>
      </c>
    </row>
    <row r="17" spans="1:12" ht="12.75">
      <c r="A17" s="54" t="s">
        <v>13</v>
      </c>
      <c r="B17" s="206">
        <v>899</v>
      </c>
      <c r="C17" s="55">
        <v>2990</v>
      </c>
      <c r="D17" s="55">
        <v>0</v>
      </c>
      <c r="E17" s="130" t="s">
        <v>63</v>
      </c>
      <c r="F17" s="55"/>
      <c r="G17" s="130" t="s">
        <v>63</v>
      </c>
      <c r="H17" s="55">
        <f t="shared" si="0"/>
        <v>0</v>
      </c>
      <c r="I17" s="131">
        <v>0</v>
      </c>
      <c r="J17" s="99" t="e">
        <f t="shared" si="1"/>
        <v>#DIV/0!</v>
      </c>
      <c r="K17" s="132" t="e">
        <f>I17/H17*100</f>
        <v>#DIV/0!</v>
      </c>
      <c r="L17" s="129">
        <f>I17/B17*100</f>
        <v>0</v>
      </c>
    </row>
    <row r="18" spans="1:12" ht="12.75">
      <c r="A18" s="54" t="s">
        <v>14</v>
      </c>
      <c r="B18" s="206">
        <v>285813</v>
      </c>
      <c r="C18" s="55">
        <v>120000</v>
      </c>
      <c r="D18" s="55">
        <v>120000</v>
      </c>
      <c r="E18" s="130" t="s">
        <v>63</v>
      </c>
      <c r="F18" s="55"/>
      <c r="G18" s="130" t="s">
        <v>63</v>
      </c>
      <c r="H18" s="55">
        <f t="shared" si="0"/>
        <v>120000</v>
      </c>
      <c r="I18" s="131">
        <v>344766</v>
      </c>
      <c r="J18" s="99">
        <f t="shared" si="1"/>
        <v>287.305</v>
      </c>
      <c r="K18" s="132">
        <f>I18/H18*100</f>
        <v>287.305</v>
      </c>
      <c r="L18" s="129"/>
    </row>
    <row r="19" spans="1:12" ht="12.75">
      <c r="A19" s="54" t="s">
        <v>15</v>
      </c>
      <c r="B19" s="206">
        <v>32</v>
      </c>
      <c r="C19" s="55">
        <v>64</v>
      </c>
      <c r="D19" s="55">
        <v>59</v>
      </c>
      <c r="E19" s="130" t="s">
        <v>63</v>
      </c>
      <c r="F19" s="55"/>
      <c r="G19" s="130" t="s">
        <v>63</v>
      </c>
      <c r="H19" s="55">
        <f t="shared" si="0"/>
        <v>59</v>
      </c>
      <c r="I19" s="131">
        <v>2</v>
      </c>
      <c r="J19" s="99">
        <f t="shared" si="1"/>
        <v>3.389830508474576</v>
      </c>
      <c r="K19" s="132">
        <f>I19/H19*100</f>
        <v>3.389830508474576</v>
      </c>
      <c r="L19" s="129">
        <f>I19/B19*100</f>
        <v>6.25</v>
      </c>
    </row>
    <row r="20" spans="1:12" ht="12.75">
      <c r="A20" s="54" t="s">
        <v>16</v>
      </c>
      <c r="B20" s="206">
        <v>11978</v>
      </c>
      <c r="C20" s="55">
        <v>5856</v>
      </c>
      <c r="D20" s="55">
        <v>5848</v>
      </c>
      <c r="E20" s="130" t="s">
        <v>63</v>
      </c>
      <c r="F20" s="55">
        <v>1054</v>
      </c>
      <c r="G20" s="130" t="s">
        <v>63</v>
      </c>
      <c r="H20" s="55">
        <f t="shared" si="0"/>
        <v>6902</v>
      </c>
      <c r="I20" s="131">
        <v>15977</v>
      </c>
      <c r="J20" s="99">
        <f t="shared" si="1"/>
        <v>273.2045143638851</v>
      </c>
      <c r="K20" s="132">
        <f>I20/H20*100</f>
        <v>231.4836279339322</v>
      </c>
      <c r="L20" s="129">
        <f>I20/B20*100</f>
        <v>133.38620804808815</v>
      </c>
    </row>
    <row r="21" spans="1:12" ht="12.75">
      <c r="A21" s="54" t="s">
        <v>58</v>
      </c>
      <c r="B21" s="206"/>
      <c r="C21" s="55"/>
      <c r="D21" s="55"/>
      <c r="E21" s="130" t="s">
        <v>63</v>
      </c>
      <c r="F21" s="55"/>
      <c r="G21" s="130" t="s">
        <v>63</v>
      </c>
      <c r="H21" s="55">
        <f t="shared" si="0"/>
        <v>0</v>
      </c>
      <c r="I21" s="131"/>
      <c r="J21" s="99"/>
      <c r="K21" s="132"/>
      <c r="L21" s="129"/>
    </row>
    <row r="22" spans="1:12" ht="12.75">
      <c r="A22" s="54" t="s">
        <v>54</v>
      </c>
      <c r="B22" s="206"/>
      <c r="C22" s="55"/>
      <c r="D22" s="55"/>
      <c r="E22" s="130" t="s">
        <v>63</v>
      </c>
      <c r="F22" s="55"/>
      <c r="G22" s="130" t="s">
        <v>63</v>
      </c>
      <c r="H22" s="55">
        <f t="shared" si="0"/>
        <v>0</v>
      </c>
      <c r="I22" s="131"/>
      <c r="J22" s="99"/>
      <c r="K22" s="132"/>
      <c r="L22" s="129"/>
    </row>
    <row r="23" spans="1:12" ht="12.75">
      <c r="A23" s="54" t="s">
        <v>17</v>
      </c>
      <c r="B23" s="206">
        <v>697</v>
      </c>
      <c r="C23" s="55">
        <v>550</v>
      </c>
      <c r="D23" s="55">
        <v>3540</v>
      </c>
      <c r="E23" s="130" t="s">
        <v>63</v>
      </c>
      <c r="F23" s="55"/>
      <c r="G23" s="130" t="s">
        <v>63</v>
      </c>
      <c r="H23" s="55">
        <f t="shared" si="0"/>
        <v>3540</v>
      </c>
      <c r="I23" s="131">
        <v>4939</v>
      </c>
      <c r="J23" s="99">
        <f t="shared" si="1"/>
        <v>139.51977401129943</v>
      </c>
      <c r="K23" s="132">
        <f aca="true" t="shared" si="2" ref="K23:K28">I23/H23*100</f>
        <v>139.51977401129943</v>
      </c>
      <c r="L23" s="129">
        <f>I23/B23*100</f>
        <v>708.6083213773314</v>
      </c>
    </row>
    <row r="24" spans="1:12" ht="12.75">
      <c r="A24" s="54" t="s">
        <v>55</v>
      </c>
      <c r="B24" s="131"/>
      <c r="C24" s="55"/>
      <c r="D24" s="55"/>
      <c r="E24" s="130" t="s">
        <v>63</v>
      </c>
      <c r="F24" s="55"/>
      <c r="G24" s="130" t="s">
        <v>63</v>
      </c>
      <c r="H24" s="55">
        <f t="shared" si="0"/>
        <v>0</v>
      </c>
      <c r="I24" s="131"/>
      <c r="J24" s="99"/>
      <c r="K24" s="132"/>
      <c r="L24" s="129"/>
    </row>
    <row r="25" spans="1:12" ht="12.75" customHeight="1">
      <c r="A25" s="54" t="s">
        <v>18</v>
      </c>
      <c r="B25" s="131"/>
      <c r="C25" s="55"/>
      <c r="D25" s="55"/>
      <c r="E25" s="130" t="s">
        <v>63</v>
      </c>
      <c r="F25" s="55"/>
      <c r="G25" s="130" t="s">
        <v>63</v>
      </c>
      <c r="H25" s="55">
        <f t="shared" si="0"/>
        <v>0</v>
      </c>
      <c r="I25" s="131"/>
      <c r="J25" s="99"/>
      <c r="K25" s="132"/>
      <c r="L25" s="129"/>
    </row>
    <row r="26" spans="1:12" ht="12.75" customHeight="1">
      <c r="A26" s="54" t="s">
        <v>76</v>
      </c>
      <c r="B26" s="131"/>
      <c r="C26" s="79"/>
      <c r="D26" s="79"/>
      <c r="E26" s="130" t="s">
        <v>63</v>
      </c>
      <c r="F26" s="55"/>
      <c r="G26" s="130" t="s">
        <v>63</v>
      </c>
      <c r="H26" s="55">
        <f t="shared" si="0"/>
        <v>0</v>
      </c>
      <c r="I26" s="131"/>
      <c r="J26" s="99" t="e">
        <f t="shared" si="1"/>
        <v>#DIV/0!</v>
      </c>
      <c r="K26" s="132" t="e">
        <f t="shared" si="2"/>
        <v>#DIV/0!</v>
      </c>
      <c r="L26" s="129"/>
    </row>
    <row r="27" spans="1:12" ht="12.75" customHeight="1">
      <c r="A27" s="54" t="s">
        <v>56</v>
      </c>
      <c r="B27" s="131"/>
      <c r="C27" s="79"/>
      <c r="D27" s="55"/>
      <c r="E27" s="130" t="s">
        <v>63</v>
      </c>
      <c r="F27" s="55"/>
      <c r="G27" s="130" t="s">
        <v>63</v>
      </c>
      <c r="H27" s="55">
        <f t="shared" si="0"/>
        <v>0</v>
      </c>
      <c r="I27" s="131"/>
      <c r="J27" s="99"/>
      <c r="K27" s="132"/>
      <c r="L27" s="129"/>
    </row>
    <row r="28" spans="1:12" ht="12.75" customHeight="1">
      <c r="A28" s="223" t="s">
        <v>77</v>
      </c>
      <c r="B28" s="133"/>
      <c r="C28" s="79"/>
      <c r="D28" s="79"/>
      <c r="E28" s="130" t="s">
        <v>63</v>
      </c>
      <c r="F28" s="79"/>
      <c r="G28" s="130" t="s">
        <v>63</v>
      </c>
      <c r="H28" s="79">
        <f t="shared" si="0"/>
        <v>0</v>
      </c>
      <c r="I28" s="133"/>
      <c r="J28" s="134" t="e">
        <f t="shared" si="1"/>
        <v>#DIV/0!</v>
      </c>
      <c r="K28" s="135" t="e">
        <f t="shared" si="2"/>
        <v>#DIV/0!</v>
      </c>
      <c r="L28" s="136"/>
    </row>
    <row r="29" spans="1:12" ht="13.5" thickBot="1">
      <c r="A29" s="193" t="s">
        <v>19</v>
      </c>
      <c r="B29" s="207">
        <v>80</v>
      </c>
      <c r="C29" s="76"/>
      <c r="D29" s="76"/>
      <c r="E29" s="78" t="s">
        <v>63</v>
      </c>
      <c r="F29" s="76"/>
      <c r="G29" s="78" t="s">
        <v>63</v>
      </c>
      <c r="H29" s="76">
        <f t="shared" si="0"/>
        <v>0</v>
      </c>
      <c r="I29" s="137">
        <v>399</v>
      </c>
      <c r="J29" s="138"/>
      <c r="K29" s="139"/>
      <c r="L29" s="140">
        <f>I29/B29*100</f>
        <v>498.75</v>
      </c>
    </row>
    <row r="30" spans="1:12" ht="12.75">
      <c r="A30" s="226"/>
      <c r="B30" s="73"/>
      <c r="C30" s="73"/>
      <c r="D30" s="141"/>
      <c r="E30" s="141"/>
      <c r="F30" s="141"/>
      <c r="G30" s="141"/>
      <c r="H30" s="141"/>
      <c r="I30" s="142"/>
      <c r="J30" s="143"/>
      <c r="K30" s="144"/>
      <c r="L30" s="145"/>
    </row>
    <row r="31" spans="1:12" ht="12.75">
      <c r="A31" s="227" t="s">
        <v>20</v>
      </c>
      <c r="B31" s="72">
        <f aca="true" t="shared" si="3" ref="B31:G31">B33+B39</f>
        <v>8335333</v>
      </c>
      <c r="C31" s="72">
        <f t="shared" si="3"/>
        <v>7367985</v>
      </c>
      <c r="D31" s="72">
        <f t="shared" si="3"/>
        <v>9292480</v>
      </c>
      <c r="E31" s="72">
        <f t="shared" si="3"/>
        <v>297069</v>
      </c>
      <c r="F31" s="72">
        <f t="shared" si="3"/>
        <v>1054</v>
      </c>
      <c r="G31" s="183">
        <f t="shared" si="3"/>
        <v>0</v>
      </c>
      <c r="H31" s="72">
        <f>D31+E31+F31+G31</f>
        <v>9590603</v>
      </c>
      <c r="I31" s="72">
        <f>I33+I39</f>
        <v>8490509</v>
      </c>
      <c r="J31" s="146">
        <f>I31/D31*100</f>
        <v>91.36967741657772</v>
      </c>
      <c r="K31" s="147">
        <f>I31/H31*100</f>
        <v>88.52945951365102</v>
      </c>
      <c r="L31" s="125">
        <f>I31/B31*100</f>
        <v>101.86166527480066</v>
      </c>
    </row>
    <row r="32" spans="1:12" ht="12.75">
      <c r="A32" s="54" t="s">
        <v>21</v>
      </c>
      <c r="B32" s="55"/>
      <c r="C32" s="55"/>
      <c r="D32" s="148"/>
      <c r="E32" s="148"/>
      <c r="F32" s="148"/>
      <c r="G32" s="187"/>
      <c r="H32" s="148"/>
      <c r="I32" s="148"/>
      <c r="J32" s="149"/>
      <c r="K32" s="149"/>
      <c r="L32" s="129"/>
    </row>
    <row r="33" spans="1:12" ht="12.75">
      <c r="A33" s="227" t="s">
        <v>22</v>
      </c>
      <c r="B33" s="72">
        <f aca="true" t="shared" si="4" ref="B33:G33">B35+B36+B37</f>
        <v>1078486</v>
      </c>
      <c r="C33" s="72">
        <f t="shared" si="4"/>
        <v>40229</v>
      </c>
      <c r="D33" s="72">
        <f t="shared" si="4"/>
        <v>1575786</v>
      </c>
      <c r="E33" s="72">
        <f t="shared" si="4"/>
        <v>220532</v>
      </c>
      <c r="F33" s="72">
        <f t="shared" si="4"/>
        <v>0</v>
      </c>
      <c r="G33" s="183">
        <f t="shared" si="4"/>
        <v>0</v>
      </c>
      <c r="H33" s="72">
        <f aca="true" t="shared" si="5" ref="H33:H57">D33+E33+F33+G33</f>
        <v>1796318</v>
      </c>
      <c r="I33" s="72">
        <f>I35+I36+I37</f>
        <v>969363</v>
      </c>
      <c r="J33" s="147">
        <f>I33/D33*100</f>
        <v>61.51615765084853</v>
      </c>
      <c r="K33" s="147">
        <f>I33/H33*100</f>
        <v>53.96388612706659</v>
      </c>
      <c r="L33" s="125">
        <f>I33/B33*100</f>
        <v>89.88183434926368</v>
      </c>
    </row>
    <row r="34" spans="1:12" ht="12.75">
      <c r="A34" s="54" t="s">
        <v>23</v>
      </c>
      <c r="B34" s="55"/>
      <c r="C34" s="55"/>
      <c r="D34" s="150"/>
      <c r="E34" s="150"/>
      <c r="F34" s="150"/>
      <c r="G34" s="188"/>
      <c r="H34" s="150">
        <f t="shared" si="5"/>
        <v>0</v>
      </c>
      <c r="I34" s="150"/>
      <c r="J34" s="151"/>
      <c r="K34" s="151"/>
      <c r="L34" s="129"/>
    </row>
    <row r="35" spans="1:12" ht="12.75">
      <c r="A35" s="54" t="s">
        <v>24</v>
      </c>
      <c r="B35" s="206">
        <v>668861</v>
      </c>
      <c r="C35" s="55">
        <v>35229</v>
      </c>
      <c r="D35" s="131">
        <v>788116</v>
      </c>
      <c r="E35" s="131">
        <v>63599</v>
      </c>
      <c r="F35" s="131"/>
      <c r="G35" s="189"/>
      <c r="H35" s="131">
        <f t="shared" si="5"/>
        <v>851715</v>
      </c>
      <c r="I35" s="131">
        <v>525230</v>
      </c>
      <c r="J35" s="99">
        <f aca="true" t="shared" si="6" ref="J35:J61">I35/D35*100</f>
        <v>66.64374279928336</v>
      </c>
      <c r="K35" s="132">
        <f>I35/H35*100</f>
        <v>61.66734177512431</v>
      </c>
      <c r="L35" s="129"/>
    </row>
    <row r="36" spans="1:12" ht="12.75">
      <c r="A36" s="54" t="s">
        <v>25</v>
      </c>
      <c r="B36" s="206">
        <v>409625</v>
      </c>
      <c r="C36" s="55">
        <v>5000</v>
      </c>
      <c r="D36" s="55">
        <v>787670</v>
      </c>
      <c r="E36" s="55">
        <v>156933</v>
      </c>
      <c r="F36" s="55"/>
      <c r="G36" s="185"/>
      <c r="H36" s="55">
        <f t="shared" si="5"/>
        <v>944603</v>
      </c>
      <c r="I36" s="131">
        <v>444133</v>
      </c>
      <c r="J36" s="99">
        <f t="shared" si="6"/>
        <v>56.385669125395154</v>
      </c>
      <c r="K36" s="132">
        <f>I36/H36*100</f>
        <v>47.01795357414702</v>
      </c>
      <c r="L36" s="129">
        <f>I36/B36*100</f>
        <v>108.42429050961245</v>
      </c>
    </row>
    <row r="37" spans="1:12" ht="12.75">
      <c r="A37" s="229" t="s">
        <v>26</v>
      </c>
      <c r="B37" s="152">
        <v>0</v>
      </c>
      <c r="C37" s="153"/>
      <c r="D37" s="152"/>
      <c r="E37" s="152"/>
      <c r="F37" s="152"/>
      <c r="G37" s="190"/>
      <c r="H37" s="152">
        <f t="shared" si="5"/>
        <v>0</v>
      </c>
      <c r="I37" s="152"/>
      <c r="J37" s="154"/>
      <c r="K37" s="155"/>
      <c r="L37" s="125"/>
    </row>
    <row r="38" spans="1:12" ht="12.75">
      <c r="A38" s="226"/>
      <c r="B38" s="73"/>
      <c r="C38" s="73"/>
      <c r="D38" s="156"/>
      <c r="E38" s="157"/>
      <c r="F38" s="157"/>
      <c r="G38" s="158"/>
      <c r="H38" s="157"/>
      <c r="I38" s="158"/>
      <c r="J38" s="159"/>
      <c r="K38" s="160"/>
      <c r="L38" s="145"/>
    </row>
    <row r="39" spans="1:12" ht="12.75">
      <c r="A39" s="227" t="s">
        <v>27</v>
      </c>
      <c r="B39" s="72">
        <f>B41+B44+B45+B46+B47</f>
        <v>7256847</v>
      </c>
      <c r="C39" s="72">
        <f>C41+C44+C45+B46+C47</f>
        <v>7327756</v>
      </c>
      <c r="D39" s="72">
        <f>D41+D44+D45+C46+D47</f>
        <v>7716694</v>
      </c>
      <c r="E39" s="72">
        <f>E41+E44+E45+D46+E47</f>
        <v>76537</v>
      </c>
      <c r="F39" s="72">
        <f>F41+F44+F45+E46+F47</f>
        <v>1054</v>
      </c>
      <c r="G39" s="183">
        <f>G41+G44+G45+F46+G47</f>
        <v>0</v>
      </c>
      <c r="H39" s="72">
        <f>D39+E39+F39+G39</f>
        <v>7794285</v>
      </c>
      <c r="I39" s="72">
        <f>I41+I44+I45+I46+I47</f>
        <v>7521146</v>
      </c>
      <c r="J39" s="146">
        <f t="shared" si="6"/>
        <v>97.46590962399183</v>
      </c>
      <c r="K39" s="161">
        <f>I39/H39*100</f>
        <v>96.49565033867763</v>
      </c>
      <c r="L39" s="125">
        <f>I39/B39*100</f>
        <v>103.64206383295667</v>
      </c>
    </row>
    <row r="40" spans="1:12" ht="12.75">
      <c r="A40" s="54" t="s">
        <v>23</v>
      </c>
      <c r="B40" s="201"/>
      <c r="C40" s="201"/>
      <c r="D40" s="201"/>
      <c r="E40" s="201"/>
      <c r="F40" s="201"/>
      <c r="G40" s="201"/>
      <c r="H40" s="201"/>
      <c r="I40" s="201"/>
      <c r="J40" s="149"/>
      <c r="K40" s="149"/>
      <c r="L40" s="129"/>
    </row>
    <row r="41" spans="1:12" ht="12.75">
      <c r="A41" s="230" t="s">
        <v>28</v>
      </c>
      <c r="B41" s="74">
        <f aca="true" t="shared" si="7" ref="B41:G41">B42+B43</f>
        <v>4491641</v>
      </c>
      <c r="C41" s="74">
        <f t="shared" si="7"/>
        <v>4448945</v>
      </c>
      <c r="D41" s="74">
        <f t="shared" si="7"/>
        <v>4647741</v>
      </c>
      <c r="E41" s="74">
        <f t="shared" si="7"/>
        <v>965</v>
      </c>
      <c r="F41" s="74">
        <f t="shared" si="7"/>
        <v>0</v>
      </c>
      <c r="G41" s="184">
        <f t="shared" si="7"/>
        <v>0</v>
      </c>
      <c r="H41" s="74">
        <f>D41+E41+F41+G41</f>
        <v>4648706</v>
      </c>
      <c r="I41" s="74">
        <f>I42+I43</f>
        <v>4640816</v>
      </c>
      <c r="J41" s="101">
        <f t="shared" si="6"/>
        <v>99.8510028850575</v>
      </c>
      <c r="K41" s="100">
        <f>I41/H41*100</f>
        <v>99.8302753497425</v>
      </c>
      <c r="L41" s="129">
        <f>I41/B41*100</f>
        <v>103.32116925640318</v>
      </c>
    </row>
    <row r="42" spans="1:12" ht="12.75">
      <c r="A42" s="54" t="s">
        <v>29</v>
      </c>
      <c r="B42" s="208">
        <v>4484230</v>
      </c>
      <c r="C42" s="55">
        <v>4434952</v>
      </c>
      <c r="D42" s="162">
        <v>4623444</v>
      </c>
      <c r="E42" s="162">
        <f>964+1</f>
        <v>965</v>
      </c>
      <c r="F42" s="162"/>
      <c r="G42" s="191"/>
      <c r="H42" s="162">
        <f>D42+E42+F42+G42</f>
        <v>4624409</v>
      </c>
      <c r="I42" s="162">
        <v>4624286</v>
      </c>
      <c r="J42" s="99">
        <f t="shared" si="6"/>
        <v>100.01821153235552</v>
      </c>
      <c r="K42" s="132">
        <f>I42/H42*100</f>
        <v>99.99734020066133</v>
      </c>
      <c r="L42" s="129">
        <f>I42/B42*100</f>
        <v>103.12330099035955</v>
      </c>
    </row>
    <row r="43" spans="1:12" ht="12.75">
      <c r="A43" s="54" t="s">
        <v>48</v>
      </c>
      <c r="B43" s="208">
        <v>7411</v>
      </c>
      <c r="C43" s="55">
        <v>13993</v>
      </c>
      <c r="D43" s="162">
        <v>24297</v>
      </c>
      <c r="E43" s="162"/>
      <c r="F43" s="162"/>
      <c r="G43" s="191"/>
      <c r="H43" s="162">
        <f t="shared" si="5"/>
        <v>24297</v>
      </c>
      <c r="I43" s="162">
        <v>16530</v>
      </c>
      <c r="J43" s="99">
        <f t="shared" si="6"/>
        <v>68.03309050500062</v>
      </c>
      <c r="K43" s="132">
        <f>I43/H43*100</f>
        <v>68.03309050500062</v>
      </c>
      <c r="L43" s="129">
        <f>I43/B43*100</f>
        <v>223.04682229118876</v>
      </c>
    </row>
    <row r="44" spans="1:12" ht="12.75">
      <c r="A44" s="231" t="s">
        <v>31</v>
      </c>
      <c r="B44" s="209">
        <v>1525919</v>
      </c>
      <c r="C44" s="86">
        <v>1512642</v>
      </c>
      <c r="D44" s="163">
        <v>1576729</v>
      </c>
      <c r="E44" s="163">
        <v>328</v>
      </c>
      <c r="F44" s="163"/>
      <c r="G44" s="192"/>
      <c r="H44" s="163">
        <f t="shared" si="5"/>
        <v>1577057</v>
      </c>
      <c r="I44" s="163">
        <v>1573986</v>
      </c>
      <c r="J44" s="101">
        <f t="shared" si="6"/>
        <v>99.82603224777371</v>
      </c>
      <c r="K44" s="100">
        <f>I44/H44*100</f>
        <v>99.80527019632137</v>
      </c>
      <c r="L44" s="129">
        <f>I44/B44*100</f>
        <v>103.15003614215435</v>
      </c>
    </row>
    <row r="45" spans="1:12" ht="12.75">
      <c r="A45" s="231" t="s">
        <v>32</v>
      </c>
      <c r="B45" s="209">
        <v>44842</v>
      </c>
      <c r="C45" s="86">
        <v>44350</v>
      </c>
      <c r="D45" s="163">
        <v>46234</v>
      </c>
      <c r="E45" s="163">
        <v>10</v>
      </c>
      <c r="F45" s="163"/>
      <c r="G45" s="192"/>
      <c r="H45" s="163">
        <f t="shared" si="5"/>
        <v>46244</v>
      </c>
      <c r="I45" s="163">
        <v>46224</v>
      </c>
      <c r="J45" s="101">
        <f t="shared" si="6"/>
        <v>99.97837089587749</v>
      </c>
      <c r="K45" s="100">
        <f>I45/H45*100</f>
        <v>99.95675114609462</v>
      </c>
      <c r="L45" s="129">
        <f>I45/B45*100</f>
        <v>103.08193211721155</v>
      </c>
    </row>
    <row r="46" spans="1:12" ht="12.75">
      <c r="A46" s="230" t="s">
        <v>49</v>
      </c>
      <c r="B46" s="163">
        <v>0</v>
      </c>
      <c r="C46" s="74"/>
      <c r="D46" s="163"/>
      <c r="E46" s="163"/>
      <c r="F46" s="163"/>
      <c r="G46" s="192"/>
      <c r="H46" s="163">
        <f t="shared" si="5"/>
        <v>0</v>
      </c>
      <c r="I46" s="163">
        <v>0</v>
      </c>
      <c r="J46" s="101"/>
      <c r="K46" s="100"/>
      <c r="L46" s="129"/>
    </row>
    <row r="47" spans="1:12" ht="12.75">
      <c r="A47" s="230" t="s">
        <v>34</v>
      </c>
      <c r="B47" s="74">
        <f aca="true" t="shared" si="8" ref="B47:G47">B49+B50+B51+B53+B57</f>
        <v>1194445</v>
      </c>
      <c r="C47" s="74">
        <f t="shared" si="8"/>
        <v>1321819</v>
      </c>
      <c r="D47" s="74">
        <f t="shared" si="8"/>
        <v>1445990</v>
      </c>
      <c r="E47" s="74">
        <f t="shared" si="8"/>
        <v>75234</v>
      </c>
      <c r="F47" s="74">
        <f t="shared" si="8"/>
        <v>1054</v>
      </c>
      <c r="G47" s="184">
        <f t="shared" si="8"/>
        <v>0</v>
      </c>
      <c r="H47" s="74">
        <f>D47+E47+F47+G47</f>
        <v>1522278</v>
      </c>
      <c r="I47" s="74">
        <f>I49+I50+I51+I53+I57</f>
        <v>1260120</v>
      </c>
      <c r="J47" s="101">
        <f t="shared" si="6"/>
        <v>87.145830884031</v>
      </c>
      <c r="K47" s="100">
        <f>I47/H47*100</f>
        <v>82.77857263916314</v>
      </c>
      <c r="L47" s="129">
        <f>I47/B47*100</f>
        <v>105.49836953564207</v>
      </c>
    </row>
    <row r="48" spans="1:12" ht="12.75">
      <c r="A48" s="54" t="s">
        <v>35</v>
      </c>
      <c r="B48" s="55"/>
      <c r="C48" s="55"/>
      <c r="D48" s="162"/>
      <c r="E48" s="162"/>
      <c r="F48" s="162"/>
      <c r="G48" s="191"/>
      <c r="H48" s="162"/>
      <c r="I48" s="162"/>
      <c r="J48" s="164"/>
      <c r="K48" s="164"/>
      <c r="L48" s="129"/>
    </row>
    <row r="49" spans="1:12" ht="12.75">
      <c r="A49" s="54" t="s">
        <v>36</v>
      </c>
      <c r="B49" s="208">
        <v>147703</v>
      </c>
      <c r="C49" s="55">
        <v>72627</v>
      </c>
      <c r="D49" s="162">
        <v>228980</v>
      </c>
      <c r="E49" s="162">
        <f>33203-1</f>
        <v>33202</v>
      </c>
      <c r="F49" s="162"/>
      <c r="G49" s="191"/>
      <c r="H49" s="162">
        <f>D49+E49+F49+G49</f>
        <v>262182</v>
      </c>
      <c r="I49" s="162">
        <v>107486</v>
      </c>
      <c r="J49" s="99">
        <f t="shared" si="6"/>
        <v>46.94121757358721</v>
      </c>
      <c r="K49" s="132">
        <f aca="true" t="shared" si="9" ref="K49:K58">I49/H49*100</f>
        <v>40.99671220755048</v>
      </c>
      <c r="L49" s="129">
        <f aca="true" t="shared" si="10" ref="L49:L61">I49/B49*100</f>
        <v>72.77171079802035</v>
      </c>
    </row>
    <row r="50" spans="1:12" ht="12.75">
      <c r="A50" s="54" t="s">
        <v>37</v>
      </c>
      <c r="B50" s="208">
        <v>206037</v>
      </c>
      <c r="C50" s="55">
        <v>315520</v>
      </c>
      <c r="D50" s="162">
        <v>221487</v>
      </c>
      <c r="E50" s="162"/>
      <c r="F50" s="162"/>
      <c r="G50" s="191"/>
      <c r="H50" s="162">
        <f t="shared" si="5"/>
        <v>221487</v>
      </c>
      <c r="I50" s="162">
        <v>216794</v>
      </c>
      <c r="J50" s="99">
        <f t="shared" si="6"/>
        <v>97.88113975086574</v>
      </c>
      <c r="K50" s="132">
        <f t="shared" si="9"/>
        <v>97.88113975086574</v>
      </c>
      <c r="L50" s="129">
        <f t="shared" si="10"/>
        <v>105.22090692448445</v>
      </c>
    </row>
    <row r="51" spans="1:12" ht="12.75">
      <c r="A51" s="54" t="s">
        <v>38</v>
      </c>
      <c r="B51" s="208">
        <v>659530</v>
      </c>
      <c r="C51" s="55">
        <v>781589</v>
      </c>
      <c r="D51" s="162">
        <v>737262</v>
      </c>
      <c r="E51" s="162">
        <v>8966</v>
      </c>
      <c r="F51" s="162"/>
      <c r="G51" s="191"/>
      <c r="H51" s="162">
        <f t="shared" si="5"/>
        <v>746228</v>
      </c>
      <c r="I51" s="162">
        <v>693044</v>
      </c>
      <c r="J51" s="99">
        <f t="shared" si="6"/>
        <v>94.00240348749834</v>
      </c>
      <c r="K51" s="132">
        <f t="shared" si="9"/>
        <v>92.87295571862755</v>
      </c>
      <c r="L51" s="129">
        <f t="shared" si="10"/>
        <v>105.08149742998802</v>
      </c>
    </row>
    <row r="52" spans="1:12" ht="12.75">
      <c r="A52" s="54" t="s">
        <v>39</v>
      </c>
      <c r="B52" s="208">
        <v>131374</v>
      </c>
      <c r="C52" s="55">
        <v>153075</v>
      </c>
      <c r="D52" s="162">
        <v>144728</v>
      </c>
      <c r="E52" s="162"/>
      <c r="F52" s="162"/>
      <c r="G52" s="191"/>
      <c r="H52" s="162">
        <f t="shared" si="5"/>
        <v>144728</v>
      </c>
      <c r="I52" s="162">
        <v>137808</v>
      </c>
      <c r="J52" s="99">
        <f t="shared" si="6"/>
        <v>95.21861699187441</v>
      </c>
      <c r="K52" s="132">
        <f t="shared" si="9"/>
        <v>95.21861699187441</v>
      </c>
      <c r="L52" s="129">
        <f t="shared" si="10"/>
        <v>104.89746829661881</v>
      </c>
    </row>
    <row r="53" spans="1:12" ht="12.75">
      <c r="A53" s="54" t="s">
        <v>40</v>
      </c>
      <c r="B53" s="208">
        <v>147571</v>
      </c>
      <c r="C53" s="55">
        <v>111775</v>
      </c>
      <c r="D53" s="162">
        <v>213241</v>
      </c>
      <c r="E53" s="162">
        <v>23705</v>
      </c>
      <c r="F53" s="162">
        <v>1054</v>
      </c>
      <c r="G53" s="191"/>
      <c r="H53" s="162">
        <f t="shared" si="5"/>
        <v>238000</v>
      </c>
      <c r="I53" s="162">
        <v>198163</v>
      </c>
      <c r="J53" s="99">
        <f t="shared" si="6"/>
        <v>92.92912713783934</v>
      </c>
      <c r="K53" s="132">
        <f t="shared" si="9"/>
        <v>83.26176470588236</v>
      </c>
      <c r="L53" s="129">
        <f t="shared" si="10"/>
        <v>134.28315861517507</v>
      </c>
    </row>
    <row r="54" spans="1:12" ht="12.75">
      <c r="A54" s="54" t="s">
        <v>41</v>
      </c>
      <c r="B54" s="208">
        <v>120668</v>
      </c>
      <c r="C54" s="55">
        <v>86005</v>
      </c>
      <c r="D54" s="162">
        <v>181195</v>
      </c>
      <c r="E54" s="162">
        <v>23705</v>
      </c>
      <c r="F54" s="162">
        <v>1054</v>
      </c>
      <c r="G54" s="191"/>
      <c r="H54" s="162">
        <f t="shared" si="5"/>
        <v>205954</v>
      </c>
      <c r="I54" s="162">
        <v>169731</v>
      </c>
      <c r="J54" s="99">
        <f t="shared" si="6"/>
        <v>93.67311460029251</v>
      </c>
      <c r="K54" s="132">
        <f t="shared" si="9"/>
        <v>82.41209202054827</v>
      </c>
      <c r="L54" s="129">
        <f t="shared" si="10"/>
        <v>140.65949547518812</v>
      </c>
    </row>
    <row r="55" spans="1:12" ht="12.75">
      <c r="A55" s="54" t="s">
        <v>42</v>
      </c>
      <c r="B55" s="208">
        <v>739</v>
      </c>
      <c r="C55" s="55">
        <v>600</v>
      </c>
      <c r="D55" s="162">
        <v>2750</v>
      </c>
      <c r="E55" s="162"/>
      <c r="F55" s="162"/>
      <c r="G55" s="191"/>
      <c r="H55" s="162">
        <f t="shared" si="5"/>
        <v>2750</v>
      </c>
      <c r="I55" s="162">
        <v>1095</v>
      </c>
      <c r="J55" s="99">
        <f t="shared" si="6"/>
        <v>39.81818181818182</v>
      </c>
      <c r="K55" s="132">
        <f t="shared" si="9"/>
        <v>39.81818181818182</v>
      </c>
      <c r="L55" s="129">
        <f t="shared" si="10"/>
        <v>148.17320703653587</v>
      </c>
    </row>
    <row r="56" spans="1:12" ht="12.75">
      <c r="A56" s="54" t="s">
        <v>43</v>
      </c>
      <c r="B56" s="208">
        <v>22691</v>
      </c>
      <c r="C56" s="55">
        <v>23900</v>
      </c>
      <c r="D56" s="162">
        <v>23749</v>
      </c>
      <c r="E56" s="162"/>
      <c r="F56" s="162"/>
      <c r="G56" s="191"/>
      <c r="H56" s="162">
        <f t="shared" si="5"/>
        <v>23749</v>
      </c>
      <c r="I56" s="162">
        <v>22454</v>
      </c>
      <c r="J56" s="99">
        <f t="shared" si="6"/>
        <v>94.54713882689796</v>
      </c>
      <c r="K56" s="132">
        <f t="shared" si="9"/>
        <v>94.54713882689796</v>
      </c>
      <c r="L56" s="129">
        <f t="shared" si="10"/>
        <v>98.95553303071702</v>
      </c>
    </row>
    <row r="57" spans="1:12" ht="13.5" thickBot="1">
      <c r="A57" s="228" t="s">
        <v>44</v>
      </c>
      <c r="B57" s="210">
        <v>33604</v>
      </c>
      <c r="C57" s="75">
        <v>40308</v>
      </c>
      <c r="D57" s="75">
        <v>45020</v>
      </c>
      <c r="E57" s="75">
        <v>9361</v>
      </c>
      <c r="F57" s="75"/>
      <c r="G57" s="186"/>
      <c r="H57" s="75">
        <f t="shared" si="5"/>
        <v>54381</v>
      </c>
      <c r="I57" s="75">
        <v>44633</v>
      </c>
      <c r="J57" s="102">
        <f t="shared" si="6"/>
        <v>99.14038205242115</v>
      </c>
      <c r="K57" s="165">
        <f t="shared" si="9"/>
        <v>82.07462165094427</v>
      </c>
      <c r="L57" s="166">
        <f t="shared" si="10"/>
        <v>132.8204975598143</v>
      </c>
    </row>
    <row r="58" spans="1:12" ht="12.75">
      <c r="A58" s="54" t="s">
        <v>45</v>
      </c>
      <c r="B58" s="211">
        <v>14710</v>
      </c>
      <c r="C58" s="55">
        <v>15268</v>
      </c>
      <c r="D58" s="55">
        <v>15245</v>
      </c>
      <c r="E58" s="55"/>
      <c r="F58" s="55"/>
      <c r="G58" s="55"/>
      <c r="H58" s="55">
        <f>D58+E58+F58</f>
        <v>15245</v>
      </c>
      <c r="I58" s="55">
        <v>14919</v>
      </c>
      <c r="J58" s="99">
        <f t="shared" si="6"/>
        <v>97.8615939652345</v>
      </c>
      <c r="K58" s="132">
        <f t="shared" si="9"/>
        <v>97.8615939652345</v>
      </c>
      <c r="L58" s="129">
        <f t="shared" si="10"/>
        <v>101.42080217539089</v>
      </c>
    </row>
    <row r="59" spans="1:12" ht="12.75" hidden="1">
      <c r="A59" s="54" t="s">
        <v>85</v>
      </c>
      <c r="B59" s="55">
        <v>3311153</v>
      </c>
      <c r="C59" s="55"/>
      <c r="D59" s="162"/>
      <c r="E59" s="55"/>
      <c r="F59" s="55"/>
      <c r="G59" s="55"/>
      <c r="H59" s="55">
        <f>D59+E59+F59</f>
        <v>0</v>
      </c>
      <c r="I59" s="55"/>
      <c r="J59" s="99" t="e">
        <f t="shared" si="6"/>
        <v>#DIV/0!</v>
      </c>
      <c r="K59" s="132">
        <v>0</v>
      </c>
      <c r="L59" s="129">
        <f t="shared" si="10"/>
        <v>0</v>
      </c>
    </row>
    <row r="60" spans="1:12" ht="12.75">
      <c r="A60" s="54" t="s">
        <v>46</v>
      </c>
      <c r="B60" s="55">
        <f>B42/B58/12*1000</f>
        <v>25403.523680036258</v>
      </c>
      <c r="C60" s="55">
        <f>C42/C58/12*1000</f>
        <v>24206.139201816437</v>
      </c>
      <c r="D60" s="55">
        <f>D42/D58/12*1000</f>
        <v>25273.00754345687</v>
      </c>
      <c r="E60" s="55"/>
      <c r="F60" s="55"/>
      <c r="G60" s="55"/>
      <c r="H60" s="55">
        <f>H42/H58/12*1000</f>
        <v>25278.28249699355</v>
      </c>
      <c r="I60" s="55">
        <f>I42/I58/12*1000</f>
        <v>25829.959559398532</v>
      </c>
      <c r="J60" s="99">
        <f t="shared" si="6"/>
        <v>102.2037425303814</v>
      </c>
      <c r="K60" s="132">
        <f>I60/H60*100</f>
        <v>102.18241513231999</v>
      </c>
      <c r="L60" s="129">
        <f t="shared" si="10"/>
        <v>101.67864853999524</v>
      </c>
    </row>
    <row r="61" spans="1:12" ht="13.5" thickBot="1">
      <c r="A61" s="193" t="s">
        <v>47</v>
      </c>
      <c r="B61" s="194">
        <f>B47/B58*1000</f>
        <v>81199.5241332427</v>
      </c>
      <c r="C61" s="76">
        <f>C47/C58*1000</f>
        <v>86574.46947864816</v>
      </c>
      <c r="D61" s="76">
        <f>D47/D58*1000</f>
        <v>94850.11479173499</v>
      </c>
      <c r="E61" s="76"/>
      <c r="F61" s="76"/>
      <c r="G61" s="76"/>
      <c r="H61" s="76">
        <f>H47/H58*1000</f>
        <v>99854.24729419482</v>
      </c>
      <c r="I61" s="76">
        <f>I47/I58*1000</f>
        <v>84464.10617333603</v>
      </c>
      <c r="J61" s="138">
        <f t="shared" si="6"/>
        <v>89.05008323795516</v>
      </c>
      <c r="K61" s="167">
        <f>I61/H61*100</f>
        <v>84.58739458972065</v>
      </c>
      <c r="L61" s="140">
        <f t="shared" si="10"/>
        <v>104.02044479316945</v>
      </c>
    </row>
    <row r="63" ht="12.75">
      <c r="A63" s="88" t="s">
        <v>61</v>
      </c>
    </row>
    <row r="64" spans="1:2" ht="12.75">
      <c r="A64" s="233" t="s">
        <v>71</v>
      </c>
      <c r="B64" s="232"/>
    </row>
    <row r="65" ht="12.75">
      <c r="A65" s="233" t="s">
        <v>66</v>
      </c>
    </row>
    <row r="66" ht="12.75">
      <c r="A66" s="233" t="s">
        <v>72</v>
      </c>
    </row>
    <row r="67" ht="12.75">
      <c r="A67" s="88" t="s">
        <v>68</v>
      </c>
    </row>
    <row r="68" ht="12.75">
      <c r="A68" s="88" t="s">
        <v>70</v>
      </c>
    </row>
    <row r="69" spans="1:11" ht="12.75">
      <c r="A69" s="237" t="s">
        <v>67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</row>
  </sheetData>
  <sheetProtection/>
  <mergeCells count="1">
    <mergeCell ref="A69:K69"/>
  </mergeCells>
  <printOptions/>
  <pageMargins left="0.984251968503937" right="0" top="0.984251968503937" bottom="0" header="0.5118110236220472" footer="0.5118110236220472"/>
  <pageSetup horizontalDpi="600" verticalDpi="600" orientation="portrait" paperSize="9" scale="75" r:id="rId1"/>
  <headerFooter alignWithMargins="0">
    <oddHeader>&amp;R&amp;"Arial CE,Tučné"&amp;12&amp;UPříloha č. 3 b)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pane xSplit="1" ySplit="8" topLeftCell="B9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P27" sqref="P27"/>
    </sheetView>
  </sheetViews>
  <sheetFormatPr defaultColWidth="9.125" defaultRowHeight="12.75"/>
  <cols>
    <col min="1" max="1" width="33.125" style="1" customWidth="1"/>
    <col min="2" max="2" width="10.125" style="38" customWidth="1"/>
    <col min="3" max="3" width="9.25390625" style="1" customWidth="1"/>
    <col min="4" max="4" width="9.75390625" style="1" customWidth="1"/>
    <col min="5" max="5" width="8.375" style="1" customWidth="1"/>
    <col min="6" max="6" width="8.00390625" style="1" customWidth="1"/>
    <col min="7" max="7" width="11.125" style="1" hidden="1" customWidth="1"/>
    <col min="8" max="8" width="10.125" style="1" customWidth="1"/>
    <col min="9" max="9" width="10.00390625" style="1" customWidth="1"/>
    <col min="10" max="10" width="8.625" style="1" customWidth="1"/>
    <col min="11" max="11" width="8.00390625" style="1" customWidth="1"/>
    <col min="12" max="12" width="8.75390625" style="1" customWidth="1"/>
    <col min="13" max="16384" width="9.125" style="1" customWidth="1"/>
  </cols>
  <sheetData>
    <row r="1" spans="1:2" ht="12.75">
      <c r="A1" s="97" t="s">
        <v>50</v>
      </c>
      <c r="B1" s="37"/>
    </row>
    <row r="2" ht="12.75">
      <c r="A2" s="1" t="s">
        <v>86</v>
      </c>
    </row>
    <row r="3" spans="9:12" ht="13.5" thickBot="1">
      <c r="I3" s="2"/>
      <c r="J3" s="2"/>
      <c r="L3" s="22"/>
    </row>
    <row r="4" spans="1:12" ht="12.75">
      <c r="A4" s="3"/>
      <c r="B4" s="40">
        <v>2012</v>
      </c>
      <c r="C4" s="25"/>
      <c r="D4" s="25">
        <v>2013</v>
      </c>
      <c r="E4" s="25"/>
      <c r="F4" s="25"/>
      <c r="G4" s="25"/>
      <c r="H4" s="25"/>
      <c r="I4" s="25"/>
      <c r="J4" s="25"/>
      <c r="K4" s="26"/>
      <c r="L4" s="17" t="s">
        <v>84</v>
      </c>
    </row>
    <row r="5" spans="1:12" ht="12.75">
      <c r="A5" s="4" t="s">
        <v>0</v>
      </c>
      <c r="B5" s="39" t="s">
        <v>1</v>
      </c>
      <c r="C5" s="27" t="s">
        <v>89</v>
      </c>
      <c r="D5" s="28"/>
      <c r="E5" s="80"/>
      <c r="F5" s="80"/>
      <c r="G5" s="80"/>
      <c r="H5" s="80"/>
      <c r="I5" s="23" t="s">
        <v>1</v>
      </c>
      <c r="J5" s="23" t="s">
        <v>2</v>
      </c>
      <c r="K5" s="23" t="s">
        <v>2</v>
      </c>
      <c r="L5" s="17" t="s">
        <v>3</v>
      </c>
    </row>
    <row r="6" spans="1:12" ht="13.5" thickBot="1">
      <c r="A6" s="5"/>
      <c r="B6" s="115" t="s">
        <v>87</v>
      </c>
      <c r="C6" s="24" t="s">
        <v>4</v>
      </c>
      <c r="D6" s="24" t="s">
        <v>62</v>
      </c>
      <c r="E6" s="81" t="s">
        <v>59</v>
      </c>
      <c r="F6" s="81" t="s">
        <v>60</v>
      </c>
      <c r="G6" s="172" t="s">
        <v>80</v>
      </c>
      <c r="H6" s="81" t="s">
        <v>64</v>
      </c>
      <c r="I6" s="195" t="s">
        <v>87</v>
      </c>
      <c r="J6" s="24" t="s">
        <v>78</v>
      </c>
      <c r="K6" s="24" t="s">
        <v>65</v>
      </c>
      <c r="L6" s="56" t="s">
        <v>5</v>
      </c>
    </row>
    <row r="7" spans="1:12" ht="13.5" thickBot="1">
      <c r="A7" s="5" t="s">
        <v>6</v>
      </c>
      <c r="B7" s="29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8" t="s">
        <v>81</v>
      </c>
      <c r="K7" s="29" t="s">
        <v>82</v>
      </c>
      <c r="L7" s="18" t="s">
        <v>83</v>
      </c>
    </row>
    <row r="8" spans="1:13" ht="12.75">
      <c r="A8" s="13" t="s">
        <v>7</v>
      </c>
      <c r="B8" s="59">
        <f>SUM(B10:B29)-B13</f>
        <v>1277229</v>
      </c>
      <c r="C8" s="8">
        <f>SUM(C10:C29)-C13</f>
        <v>1418472</v>
      </c>
      <c r="D8" s="44">
        <f>SUM(D10:D29)-D13</f>
        <v>1418472</v>
      </c>
      <c r="E8" s="85" t="s">
        <v>63</v>
      </c>
      <c r="F8" s="44">
        <f>SUM(F10:F29)</f>
        <v>11900</v>
      </c>
      <c r="G8" s="85" t="s">
        <v>63</v>
      </c>
      <c r="H8" s="44">
        <f>D8+F8</f>
        <v>1430372</v>
      </c>
      <c r="I8" s="91">
        <f>I10+I12+I14+I15+I16+I17+I18+I19+I20+I21+I22+I23+I24+I26+I27+I28+I29</f>
        <v>1541860</v>
      </c>
      <c r="J8" s="171">
        <f aca="true" t="shared" si="0" ref="J8:J31">I8/D8*100</f>
        <v>108.69865601858902</v>
      </c>
      <c r="K8" s="30">
        <f>I8/H8*100</f>
        <v>107.7943360188818</v>
      </c>
      <c r="L8" s="47">
        <f>I8/B8*100</f>
        <v>120.71915059867887</v>
      </c>
      <c r="M8" s="38"/>
    </row>
    <row r="9" spans="1:14" ht="12.75">
      <c r="A9" s="9" t="s">
        <v>8</v>
      </c>
      <c r="B9" s="10"/>
      <c r="C9" s="10"/>
      <c r="D9" s="10"/>
      <c r="E9" s="84"/>
      <c r="F9" s="10"/>
      <c r="G9" s="84"/>
      <c r="H9" s="10"/>
      <c r="I9" s="87"/>
      <c r="J9" s="10"/>
      <c r="K9" s="31"/>
      <c r="L9" s="48"/>
      <c r="N9" s="38"/>
    </row>
    <row r="10" spans="1:12" ht="12.75">
      <c r="A10" s="67" t="s">
        <v>57</v>
      </c>
      <c r="B10" s="55">
        <v>4108</v>
      </c>
      <c r="C10" s="10">
        <v>2500</v>
      </c>
      <c r="D10" s="10">
        <v>2500</v>
      </c>
      <c r="E10" s="84" t="s">
        <v>63</v>
      </c>
      <c r="F10" s="10"/>
      <c r="G10" s="84" t="s">
        <v>63</v>
      </c>
      <c r="H10" s="10">
        <f aca="true" t="shared" si="1" ref="H10:H29">D10+F10</f>
        <v>2500</v>
      </c>
      <c r="I10" s="10">
        <v>5417</v>
      </c>
      <c r="J10" s="31">
        <f t="shared" si="0"/>
        <v>216.67999999999998</v>
      </c>
      <c r="K10" s="31">
        <f>I10/H10*100</f>
        <v>216.67999999999998</v>
      </c>
      <c r="L10" s="48"/>
    </row>
    <row r="11" spans="1:12" ht="12.75">
      <c r="A11" s="67" t="s">
        <v>91</v>
      </c>
      <c r="B11" s="55"/>
      <c r="C11" s="10"/>
      <c r="D11" s="10"/>
      <c r="E11" s="84" t="s">
        <v>63</v>
      </c>
      <c r="F11" s="10"/>
      <c r="G11" s="84" t="s">
        <v>63</v>
      </c>
      <c r="H11" s="10"/>
      <c r="I11" s="10"/>
      <c r="J11" s="31"/>
      <c r="K11" s="31"/>
      <c r="L11" s="48"/>
    </row>
    <row r="12" spans="1:12" ht="12.75">
      <c r="A12" s="67" t="s">
        <v>9</v>
      </c>
      <c r="B12" s="55">
        <v>512004</v>
      </c>
      <c r="C12" s="10">
        <v>513302</v>
      </c>
      <c r="D12" s="10">
        <v>513302</v>
      </c>
      <c r="E12" s="84" t="s">
        <v>63</v>
      </c>
      <c r="F12" s="10"/>
      <c r="G12" s="84" t="s">
        <v>63</v>
      </c>
      <c r="H12" s="10">
        <f t="shared" si="1"/>
        <v>513302</v>
      </c>
      <c r="I12" s="10">
        <v>524871</v>
      </c>
      <c r="J12" s="31">
        <f t="shared" si="0"/>
        <v>102.2538388706843</v>
      </c>
      <c r="K12" s="31">
        <f>I12/H12*100</f>
        <v>102.2538388706843</v>
      </c>
      <c r="L12" s="48">
        <f aca="true" t="shared" si="2" ref="L12:L29">I12/B12*100</f>
        <v>102.5130663041695</v>
      </c>
    </row>
    <row r="13" spans="1:14" ht="12.75">
      <c r="A13" s="67" t="s">
        <v>10</v>
      </c>
      <c r="B13" s="55">
        <v>455117</v>
      </c>
      <c r="C13" s="10">
        <v>458361</v>
      </c>
      <c r="D13" s="10">
        <v>458361</v>
      </c>
      <c r="E13" s="84" t="s">
        <v>63</v>
      </c>
      <c r="F13" s="10"/>
      <c r="G13" s="84" t="s">
        <v>63</v>
      </c>
      <c r="H13" s="10">
        <f t="shared" si="1"/>
        <v>458361</v>
      </c>
      <c r="I13" s="10">
        <v>466522</v>
      </c>
      <c r="J13" s="31">
        <f t="shared" si="0"/>
        <v>101.78047434227607</v>
      </c>
      <c r="K13" s="31">
        <f>I13/H13*100</f>
        <v>101.78047434227607</v>
      </c>
      <c r="L13" s="48">
        <f t="shared" si="2"/>
        <v>102.50594901970263</v>
      </c>
      <c r="N13" s="38"/>
    </row>
    <row r="14" spans="1:12" ht="12.75">
      <c r="A14" s="9" t="s">
        <v>11</v>
      </c>
      <c r="B14" s="55">
        <v>55889</v>
      </c>
      <c r="C14" s="10">
        <v>44887</v>
      </c>
      <c r="D14" s="10">
        <v>44887</v>
      </c>
      <c r="E14" s="84" t="s">
        <v>63</v>
      </c>
      <c r="F14" s="10"/>
      <c r="G14" s="84" t="s">
        <v>63</v>
      </c>
      <c r="H14" s="10">
        <f t="shared" si="1"/>
        <v>44887</v>
      </c>
      <c r="I14" s="10">
        <v>65093</v>
      </c>
      <c r="J14" s="31">
        <f t="shared" si="0"/>
        <v>145.01526054314166</v>
      </c>
      <c r="K14" s="31">
        <f>I14/H14*100</f>
        <v>145.01526054314166</v>
      </c>
      <c r="L14" s="48">
        <f t="shared" si="2"/>
        <v>116.46835692175563</v>
      </c>
    </row>
    <row r="15" spans="1:12" ht="12.75">
      <c r="A15" s="53" t="s">
        <v>53</v>
      </c>
      <c r="B15" s="55"/>
      <c r="C15" s="10"/>
      <c r="D15" s="10"/>
      <c r="E15" s="84" t="s">
        <v>63</v>
      </c>
      <c r="F15" s="10"/>
      <c r="G15" s="84" t="s">
        <v>63</v>
      </c>
      <c r="H15" s="10">
        <f t="shared" si="1"/>
        <v>0</v>
      </c>
      <c r="I15" s="10"/>
      <c r="J15" s="31"/>
      <c r="K15" s="31"/>
      <c r="L15" s="48"/>
    </row>
    <row r="16" spans="1:12" ht="12.75">
      <c r="A16" s="9" t="s">
        <v>12</v>
      </c>
      <c r="B16" s="55">
        <v>3304</v>
      </c>
      <c r="C16" s="10">
        <v>1930</v>
      </c>
      <c r="D16" s="10">
        <v>1930</v>
      </c>
      <c r="E16" s="84" t="s">
        <v>63</v>
      </c>
      <c r="F16" s="10"/>
      <c r="G16" s="84" t="s">
        <v>63</v>
      </c>
      <c r="H16" s="10">
        <f t="shared" si="1"/>
        <v>1930</v>
      </c>
      <c r="I16" s="10">
        <v>3066</v>
      </c>
      <c r="J16" s="31">
        <f t="shared" si="0"/>
        <v>158.86010362694302</v>
      </c>
      <c r="K16" s="31">
        <f>I16/H16*100</f>
        <v>158.86010362694302</v>
      </c>
      <c r="L16" s="48">
        <f t="shared" si="2"/>
        <v>92.79661016949152</v>
      </c>
    </row>
    <row r="17" spans="1:12" ht="12.75">
      <c r="A17" s="9" t="s">
        <v>13</v>
      </c>
      <c r="B17" s="55">
        <v>1679</v>
      </c>
      <c r="C17" s="10">
        <v>1000</v>
      </c>
      <c r="D17" s="10">
        <v>1000</v>
      </c>
      <c r="E17" s="84" t="s">
        <v>63</v>
      </c>
      <c r="F17" s="10"/>
      <c r="G17" s="84" t="s">
        <v>63</v>
      </c>
      <c r="H17" s="10">
        <f t="shared" si="1"/>
        <v>1000</v>
      </c>
      <c r="I17" s="10">
        <v>0</v>
      </c>
      <c r="J17" s="31">
        <f t="shared" si="0"/>
        <v>0</v>
      </c>
      <c r="K17" s="31">
        <f>I17/H17*100</f>
        <v>0</v>
      </c>
      <c r="L17" s="48">
        <f t="shared" si="2"/>
        <v>0</v>
      </c>
    </row>
    <row r="18" spans="1:12" ht="12.75">
      <c r="A18" s="9" t="s">
        <v>14</v>
      </c>
      <c r="B18" s="55">
        <v>586663</v>
      </c>
      <c r="C18" s="10">
        <v>785000</v>
      </c>
      <c r="D18" s="10">
        <v>785000</v>
      </c>
      <c r="E18" s="84" t="s">
        <v>63</v>
      </c>
      <c r="F18" s="10"/>
      <c r="G18" s="84" t="s">
        <v>63</v>
      </c>
      <c r="H18" s="10">
        <f t="shared" si="1"/>
        <v>785000</v>
      </c>
      <c r="I18" s="10">
        <v>798101</v>
      </c>
      <c r="J18" s="31">
        <f t="shared" si="0"/>
        <v>101.66891719745223</v>
      </c>
      <c r="K18" s="31">
        <f>I18/H18*100</f>
        <v>101.66891719745223</v>
      </c>
      <c r="L18" s="48">
        <f t="shared" si="2"/>
        <v>136.04079343677716</v>
      </c>
    </row>
    <row r="19" spans="1:12" ht="12.75">
      <c r="A19" s="9" t="s">
        <v>15</v>
      </c>
      <c r="B19" s="55">
        <v>71</v>
      </c>
      <c r="C19" s="10">
        <v>300</v>
      </c>
      <c r="D19" s="10">
        <v>300</v>
      </c>
      <c r="E19" s="84" t="s">
        <v>63</v>
      </c>
      <c r="F19" s="10"/>
      <c r="G19" s="84" t="s">
        <v>63</v>
      </c>
      <c r="H19" s="10">
        <f t="shared" si="1"/>
        <v>300</v>
      </c>
      <c r="I19" s="10">
        <v>42</v>
      </c>
      <c r="J19" s="31">
        <f t="shared" si="0"/>
        <v>14.000000000000002</v>
      </c>
      <c r="K19" s="31">
        <v>0</v>
      </c>
      <c r="L19" s="48">
        <f t="shared" si="2"/>
        <v>59.154929577464785</v>
      </c>
    </row>
    <row r="20" spans="1:12" ht="12.75">
      <c r="A20" s="9" t="s">
        <v>16</v>
      </c>
      <c r="B20" s="55">
        <v>12310</v>
      </c>
      <c r="C20" s="10">
        <v>17183</v>
      </c>
      <c r="D20" s="10">
        <v>17183</v>
      </c>
      <c r="E20" s="84" t="s">
        <v>63</v>
      </c>
      <c r="F20" s="10"/>
      <c r="G20" s="84" t="s">
        <v>63</v>
      </c>
      <c r="H20" s="10">
        <f t="shared" si="1"/>
        <v>17183</v>
      </c>
      <c r="I20" s="10">
        <v>8283</v>
      </c>
      <c r="J20" s="31">
        <f t="shared" si="0"/>
        <v>48.20462084618518</v>
      </c>
      <c r="K20" s="31">
        <f>I20/H20*100</f>
        <v>48.20462084618518</v>
      </c>
      <c r="L20" s="48">
        <f t="shared" si="2"/>
        <v>67.28675873273761</v>
      </c>
    </row>
    <row r="21" spans="1:12" ht="12.75">
      <c r="A21" s="9" t="s">
        <v>58</v>
      </c>
      <c r="B21" s="55">
        <v>8569</v>
      </c>
      <c r="C21" s="10">
        <v>7450</v>
      </c>
      <c r="D21" s="10">
        <v>7450</v>
      </c>
      <c r="E21" s="84" t="s">
        <v>63</v>
      </c>
      <c r="F21" s="10"/>
      <c r="G21" s="84" t="s">
        <v>63</v>
      </c>
      <c r="H21" s="10">
        <f t="shared" si="1"/>
        <v>7450</v>
      </c>
      <c r="I21" s="10">
        <v>8737</v>
      </c>
      <c r="J21" s="31">
        <f t="shared" si="0"/>
        <v>117.2751677852349</v>
      </c>
      <c r="K21" s="31">
        <f>I21/H21*100</f>
        <v>117.2751677852349</v>
      </c>
      <c r="L21" s="48">
        <f t="shared" si="2"/>
        <v>101.96055549072238</v>
      </c>
    </row>
    <row r="22" spans="1:12" ht="12.75">
      <c r="A22" s="54" t="s">
        <v>54</v>
      </c>
      <c r="B22" s="55"/>
      <c r="C22" s="10"/>
      <c r="D22" s="10"/>
      <c r="E22" s="84" t="s">
        <v>63</v>
      </c>
      <c r="F22" s="10"/>
      <c r="G22" s="84" t="s">
        <v>63</v>
      </c>
      <c r="H22" s="10"/>
      <c r="I22" s="10"/>
      <c r="J22" s="31"/>
      <c r="K22" s="31"/>
      <c r="L22" s="48"/>
    </row>
    <row r="23" spans="1:12" ht="12.75">
      <c r="A23" s="9" t="s">
        <v>17</v>
      </c>
      <c r="B23" s="55">
        <v>16024</v>
      </c>
      <c r="C23" s="10">
        <v>6700</v>
      </c>
      <c r="D23" s="10">
        <v>6700</v>
      </c>
      <c r="E23" s="84" t="s">
        <v>63</v>
      </c>
      <c r="F23" s="10"/>
      <c r="G23" s="84" t="s">
        <v>63</v>
      </c>
      <c r="H23" s="10">
        <f t="shared" si="1"/>
        <v>6700</v>
      </c>
      <c r="I23" s="55">
        <v>14338</v>
      </c>
      <c r="J23" s="31">
        <f t="shared" si="0"/>
        <v>214</v>
      </c>
      <c r="K23" s="31">
        <f>I23/H23*100</f>
        <v>214</v>
      </c>
      <c r="L23" s="48">
        <f t="shared" si="2"/>
        <v>89.4782825761358</v>
      </c>
    </row>
    <row r="24" spans="1:12" ht="12.75">
      <c r="A24" s="54" t="s">
        <v>55</v>
      </c>
      <c r="B24" s="55"/>
      <c r="C24" s="10"/>
      <c r="D24" s="10"/>
      <c r="E24" s="84" t="s">
        <v>63</v>
      </c>
      <c r="F24" s="10"/>
      <c r="G24" s="84" t="s">
        <v>63</v>
      </c>
      <c r="H24" s="10">
        <f t="shared" si="1"/>
        <v>0</v>
      </c>
      <c r="I24" s="10"/>
      <c r="J24" s="31"/>
      <c r="K24" s="31">
        <v>0</v>
      </c>
      <c r="L24" s="48">
        <v>0</v>
      </c>
    </row>
    <row r="25" spans="1:12" ht="12.75" customHeight="1">
      <c r="A25" s="9" t="s">
        <v>18</v>
      </c>
      <c r="B25" s="55"/>
      <c r="C25" s="10"/>
      <c r="D25" s="10"/>
      <c r="E25" s="84" t="s">
        <v>63</v>
      </c>
      <c r="F25" s="10"/>
      <c r="G25" s="84" t="s">
        <v>63</v>
      </c>
      <c r="H25" s="10">
        <f t="shared" si="1"/>
        <v>0</v>
      </c>
      <c r="I25" s="10"/>
      <c r="J25" s="31"/>
      <c r="K25" s="31">
        <v>0</v>
      </c>
      <c r="L25" s="48">
        <v>0</v>
      </c>
    </row>
    <row r="26" spans="1:12" ht="12.75" customHeight="1">
      <c r="A26" s="9" t="s">
        <v>76</v>
      </c>
      <c r="B26" s="55">
        <v>0</v>
      </c>
      <c r="C26" s="68">
        <v>3427</v>
      </c>
      <c r="D26" s="10">
        <v>3427</v>
      </c>
      <c r="E26" s="84" t="s">
        <v>63</v>
      </c>
      <c r="F26" s="10"/>
      <c r="G26" s="84" t="s">
        <v>63</v>
      </c>
      <c r="H26" s="10">
        <f t="shared" si="1"/>
        <v>3427</v>
      </c>
      <c r="I26" s="10">
        <v>5143</v>
      </c>
      <c r="J26" s="31">
        <f t="shared" si="0"/>
        <v>150.07295010213016</v>
      </c>
      <c r="K26" s="31">
        <f>I26/H26*100</f>
        <v>150.07295010213016</v>
      </c>
      <c r="L26" s="48">
        <v>0</v>
      </c>
    </row>
    <row r="27" spans="1:12" ht="12.75" customHeight="1">
      <c r="A27" s="9" t="s">
        <v>56</v>
      </c>
      <c r="B27" s="55">
        <v>65938</v>
      </c>
      <c r="C27" s="68">
        <v>15357</v>
      </c>
      <c r="D27" s="10">
        <v>15357</v>
      </c>
      <c r="E27" s="84" t="s">
        <v>63</v>
      </c>
      <c r="F27" s="10"/>
      <c r="G27" s="84" t="s">
        <v>63</v>
      </c>
      <c r="H27" s="10">
        <f t="shared" si="1"/>
        <v>15357</v>
      </c>
      <c r="I27" s="10">
        <v>90696</v>
      </c>
      <c r="J27" s="31">
        <f t="shared" si="0"/>
        <v>590.5840984567299</v>
      </c>
      <c r="K27" s="31">
        <f>I27/H27*100</f>
        <v>590.5840984567299</v>
      </c>
      <c r="L27" s="48">
        <v>0</v>
      </c>
    </row>
    <row r="28" spans="1:12" ht="12.75" customHeight="1">
      <c r="A28" s="67" t="s">
        <v>77</v>
      </c>
      <c r="B28" s="79">
        <v>0</v>
      </c>
      <c r="C28" s="68">
        <v>19436</v>
      </c>
      <c r="D28" s="68">
        <v>19436</v>
      </c>
      <c r="E28" s="84" t="s">
        <v>63</v>
      </c>
      <c r="F28" s="68"/>
      <c r="G28" s="84" t="s">
        <v>63</v>
      </c>
      <c r="H28" s="68">
        <f t="shared" si="1"/>
        <v>19436</v>
      </c>
      <c r="I28" s="68">
        <v>3101</v>
      </c>
      <c r="J28" s="69">
        <f t="shared" si="0"/>
        <v>15.95492899773616</v>
      </c>
      <c r="K28" s="69">
        <f>I28/H28*100</f>
        <v>15.95492899773616</v>
      </c>
      <c r="L28" s="70">
        <v>0</v>
      </c>
    </row>
    <row r="29" spans="1:12" ht="13.5" thickBot="1">
      <c r="A29" s="193" t="s">
        <v>19</v>
      </c>
      <c r="B29" s="76">
        <v>10670</v>
      </c>
      <c r="C29" s="11"/>
      <c r="D29" s="11"/>
      <c r="E29" s="29" t="s">
        <v>63</v>
      </c>
      <c r="F29" s="76">
        <v>11900</v>
      </c>
      <c r="G29" s="29" t="s">
        <v>63</v>
      </c>
      <c r="H29" s="11">
        <f t="shared" si="1"/>
        <v>11900</v>
      </c>
      <c r="I29" s="11">
        <v>14972</v>
      </c>
      <c r="J29" s="60"/>
      <c r="K29" s="60">
        <f>I29/H29*100</f>
        <v>125.81512605042018</v>
      </c>
      <c r="L29" s="58">
        <f t="shared" si="2"/>
        <v>140.3186504217432</v>
      </c>
    </row>
    <row r="30" spans="1:12" ht="12.75">
      <c r="A30" s="4"/>
      <c r="B30" s="12"/>
      <c r="C30" s="12"/>
      <c r="D30" s="12"/>
      <c r="E30" s="12"/>
      <c r="F30" s="12"/>
      <c r="G30" s="12"/>
      <c r="H30" s="12"/>
      <c r="I30" s="12"/>
      <c r="J30" s="12"/>
      <c r="K30" s="32"/>
      <c r="L30" s="49"/>
    </row>
    <row r="31" spans="1:12" ht="12.75">
      <c r="A31" s="7" t="s">
        <v>20</v>
      </c>
      <c r="B31" s="59">
        <f aca="true" t="shared" si="3" ref="B31:G31">B33+B39</f>
        <v>3975614</v>
      </c>
      <c r="C31" s="8">
        <f t="shared" si="3"/>
        <v>4430298</v>
      </c>
      <c r="D31" s="8">
        <f t="shared" si="3"/>
        <v>4517604.17</v>
      </c>
      <c r="E31" s="8">
        <f t="shared" si="3"/>
        <v>108865</v>
      </c>
      <c r="F31" s="8">
        <f t="shared" si="3"/>
        <v>11900</v>
      </c>
      <c r="G31" s="174">
        <f t="shared" si="3"/>
        <v>0</v>
      </c>
      <c r="H31" s="8">
        <f>D31+E31+F31+G31</f>
        <v>4638369.17</v>
      </c>
      <c r="I31" s="8">
        <f>I33+I39</f>
        <v>4064266.623</v>
      </c>
      <c r="J31" s="30">
        <f t="shared" si="0"/>
        <v>89.96508923888301</v>
      </c>
      <c r="K31" s="30">
        <f>I31/H31*100</f>
        <v>87.62275002358211</v>
      </c>
      <c r="L31" s="47">
        <f>I31/B31*100</f>
        <v>102.22991022267254</v>
      </c>
    </row>
    <row r="32" spans="1:12" ht="12.75">
      <c r="A32" s="9" t="s">
        <v>21</v>
      </c>
      <c r="B32" s="10"/>
      <c r="C32" s="10"/>
      <c r="D32" s="10"/>
      <c r="E32" s="10"/>
      <c r="F32" s="10"/>
      <c r="G32" s="175"/>
      <c r="H32" s="10"/>
      <c r="I32" s="10"/>
      <c r="J32" s="10"/>
      <c r="K32" s="31"/>
      <c r="L32" s="48"/>
    </row>
    <row r="33" spans="1:12" ht="12.75">
      <c r="A33" s="61" t="s">
        <v>22</v>
      </c>
      <c r="B33" s="59">
        <f aca="true" t="shared" si="4" ref="B33:G33">B35+B36+B37</f>
        <v>211573</v>
      </c>
      <c r="C33" s="8">
        <f t="shared" si="4"/>
        <v>305219</v>
      </c>
      <c r="D33" s="8">
        <f t="shared" si="4"/>
        <v>323686</v>
      </c>
      <c r="E33" s="8">
        <f t="shared" si="4"/>
        <v>72748</v>
      </c>
      <c r="F33" s="8">
        <f t="shared" si="4"/>
        <v>3178</v>
      </c>
      <c r="G33" s="174">
        <f t="shared" si="4"/>
        <v>0</v>
      </c>
      <c r="H33" s="8">
        <f aca="true" t="shared" si="5" ref="H33:H57">D33+E33+F33+G33</f>
        <v>399612</v>
      </c>
      <c r="I33" s="8">
        <f>I35+I36+I37</f>
        <v>242871</v>
      </c>
      <c r="J33" s="30">
        <f>I33/D33*100</f>
        <v>75.03290225712573</v>
      </c>
      <c r="K33" s="30">
        <f>I33/H33*100</f>
        <v>60.776703402300235</v>
      </c>
      <c r="L33" s="47">
        <f>I33/B33*100</f>
        <v>114.79300288789211</v>
      </c>
    </row>
    <row r="34" spans="1:12" ht="12.75">
      <c r="A34" s="9" t="s">
        <v>23</v>
      </c>
      <c r="B34" s="10"/>
      <c r="C34" s="10"/>
      <c r="D34" s="10"/>
      <c r="E34" s="10"/>
      <c r="F34" s="10"/>
      <c r="G34" s="175"/>
      <c r="H34" s="10">
        <f t="shared" si="5"/>
        <v>0</v>
      </c>
      <c r="I34" s="10"/>
      <c r="J34" s="10"/>
      <c r="K34" s="31"/>
      <c r="L34" s="48"/>
    </row>
    <row r="35" spans="1:12" ht="12.75">
      <c r="A35" s="9" t="s">
        <v>24</v>
      </c>
      <c r="B35" s="55">
        <v>169542</v>
      </c>
      <c r="C35" s="10">
        <v>176219</v>
      </c>
      <c r="D35" s="10">
        <v>173955</v>
      </c>
      <c r="E35" s="10">
        <v>36292</v>
      </c>
      <c r="F35" s="10">
        <v>0</v>
      </c>
      <c r="G35" s="175"/>
      <c r="H35" s="10">
        <f t="shared" si="5"/>
        <v>210247</v>
      </c>
      <c r="I35" s="10">
        <v>178917</v>
      </c>
      <c r="J35" s="31">
        <f aca="true" t="shared" si="6" ref="J35:J61">I35/D35*100</f>
        <v>102.85246184358023</v>
      </c>
      <c r="K35" s="31">
        <f>I35/H35*100</f>
        <v>85.09847940755397</v>
      </c>
      <c r="L35" s="48">
        <f>I35/B35*100</f>
        <v>105.52960328414198</v>
      </c>
    </row>
    <row r="36" spans="1:12" ht="12.75">
      <c r="A36" s="9" t="s">
        <v>25</v>
      </c>
      <c r="B36" s="55">
        <v>42031</v>
      </c>
      <c r="C36" s="10">
        <v>129000</v>
      </c>
      <c r="D36" s="10">
        <v>149731</v>
      </c>
      <c r="E36" s="10">
        <v>36163</v>
      </c>
      <c r="F36" s="10">
        <v>3178</v>
      </c>
      <c r="G36" s="175"/>
      <c r="H36" s="10">
        <f t="shared" si="5"/>
        <v>189072</v>
      </c>
      <c r="I36" s="10">
        <v>63938</v>
      </c>
      <c r="J36" s="31">
        <f t="shared" si="6"/>
        <v>42.70191209569161</v>
      </c>
      <c r="K36" s="31">
        <f>I36/H36*100</f>
        <v>33.816747059321315</v>
      </c>
      <c r="L36" s="48">
        <f>I36/B36*100</f>
        <v>152.12105350812496</v>
      </c>
    </row>
    <row r="37" spans="1:12" ht="12.75">
      <c r="A37" s="13" t="s">
        <v>26</v>
      </c>
      <c r="B37" s="14">
        <v>0</v>
      </c>
      <c r="C37" s="14"/>
      <c r="D37" s="14"/>
      <c r="E37" s="14">
        <v>293</v>
      </c>
      <c r="F37" s="14"/>
      <c r="G37" s="177"/>
      <c r="H37" s="14">
        <f t="shared" si="5"/>
        <v>293</v>
      </c>
      <c r="I37" s="14">
        <v>16</v>
      </c>
      <c r="J37" s="14"/>
      <c r="K37" s="33">
        <v>0</v>
      </c>
      <c r="L37" s="47">
        <v>0</v>
      </c>
    </row>
    <row r="38" spans="1:12" ht="12.75">
      <c r="A38" s="4"/>
      <c r="B38" s="12"/>
      <c r="C38" s="12"/>
      <c r="D38" s="12"/>
      <c r="E38" s="12"/>
      <c r="F38" s="12"/>
      <c r="G38" s="178"/>
      <c r="H38" s="12"/>
      <c r="I38" s="12"/>
      <c r="J38" s="12"/>
      <c r="K38" s="32"/>
      <c r="L38" s="49"/>
    </row>
    <row r="39" spans="1:12" ht="12.75">
      <c r="A39" s="7" t="s">
        <v>27</v>
      </c>
      <c r="B39" s="59">
        <f>B41+B44+B45+B46+B47</f>
        <v>3764041</v>
      </c>
      <c r="C39" s="8">
        <f>C41+C47+C44+C45+C46</f>
        <v>4125079</v>
      </c>
      <c r="D39" s="8">
        <f>D41+D47+D44+D45+D46</f>
        <v>4193918.17</v>
      </c>
      <c r="E39" s="8">
        <f>E41+E47+E44+E45+E46</f>
        <v>36117</v>
      </c>
      <c r="F39" s="8">
        <f>F41+F47+F44+F45+F46</f>
        <v>8722</v>
      </c>
      <c r="G39" s="174">
        <f>G41+G47+G44+G45+G46</f>
        <v>0</v>
      </c>
      <c r="H39" s="8">
        <f t="shared" si="5"/>
        <v>4238757.17</v>
      </c>
      <c r="I39" s="8">
        <f>I41+I44+I45+I46+I47</f>
        <v>3821395.623</v>
      </c>
      <c r="J39" s="30">
        <f t="shared" si="6"/>
        <v>91.11755327834639</v>
      </c>
      <c r="K39" s="30">
        <f>I39/H39*100</f>
        <v>90.15368113196256</v>
      </c>
      <c r="L39" s="47">
        <f>I39/B39*100</f>
        <v>101.5237512821991</v>
      </c>
    </row>
    <row r="40" spans="1:12" ht="12.75">
      <c r="A40" s="9" t="s">
        <v>23</v>
      </c>
      <c r="B40" s="10"/>
      <c r="C40" s="10"/>
      <c r="D40" s="10"/>
      <c r="E40" s="10"/>
      <c r="F40" s="10"/>
      <c r="G40" s="175"/>
      <c r="H40" s="10"/>
      <c r="I40" s="10"/>
      <c r="J40" s="10"/>
      <c r="K40" s="31"/>
      <c r="L40" s="48"/>
    </row>
    <row r="41" spans="1:12" ht="12.75">
      <c r="A41" s="15" t="s">
        <v>28</v>
      </c>
      <c r="B41" s="20">
        <f aca="true" t="shared" si="7" ref="B41:G41">B42+B43</f>
        <v>2056042</v>
      </c>
      <c r="C41" s="16">
        <f t="shared" si="7"/>
        <v>2072311</v>
      </c>
      <c r="D41" s="16">
        <f t="shared" si="7"/>
        <v>2076833.7</v>
      </c>
      <c r="E41" s="16">
        <f t="shared" si="7"/>
        <v>1432</v>
      </c>
      <c r="F41" s="16">
        <f t="shared" si="7"/>
        <v>0</v>
      </c>
      <c r="G41" s="180">
        <f t="shared" si="7"/>
        <v>0</v>
      </c>
      <c r="H41" s="16">
        <f t="shared" si="5"/>
        <v>2078265.7</v>
      </c>
      <c r="I41" s="16">
        <f>I42+I43</f>
        <v>2075700</v>
      </c>
      <c r="J41" s="34">
        <f t="shared" si="6"/>
        <v>99.94541209534495</v>
      </c>
      <c r="K41" s="34">
        <f aca="true" t="shared" si="8" ref="K41:K47">I41/H41*100</f>
        <v>99.8765461028395</v>
      </c>
      <c r="L41" s="48">
        <f aca="true" t="shared" si="9" ref="L41:L61">I41/B41*100</f>
        <v>100.95610887326232</v>
      </c>
    </row>
    <row r="42" spans="1:12" ht="12.75">
      <c r="A42" s="9" t="s">
        <v>29</v>
      </c>
      <c r="B42" s="55">
        <v>2047362</v>
      </c>
      <c r="C42" s="10">
        <v>2062422</v>
      </c>
      <c r="D42" s="10">
        <v>2066944.7</v>
      </c>
      <c r="E42" s="10"/>
      <c r="F42" s="10"/>
      <c r="G42" s="175"/>
      <c r="H42" s="10">
        <f t="shared" si="5"/>
        <v>2066944.7</v>
      </c>
      <c r="I42" s="55">
        <v>2066945</v>
      </c>
      <c r="J42" s="99">
        <f t="shared" si="6"/>
        <v>100.00001451417641</v>
      </c>
      <c r="K42" s="31">
        <f t="shared" si="8"/>
        <v>100.00001451417641</v>
      </c>
      <c r="L42" s="48">
        <f t="shared" si="9"/>
        <v>100.95649914377624</v>
      </c>
    </row>
    <row r="43" spans="1:12" ht="12.75">
      <c r="A43" s="43" t="s">
        <v>30</v>
      </c>
      <c r="B43" s="55">
        <v>8680</v>
      </c>
      <c r="C43" s="10">
        <v>9889</v>
      </c>
      <c r="D43" s="10">
        <v>9889</v>
      </c>
      <c r="E43" s="10">
        <v>1432</v>
      </c>
      <c r="F43" s="10"/>
      <c r="G43" s="175"/>
      <c r="H43" s="10">
        <f t="shared" si="5"/>
        <v>11321</v>
      </c>
      <c r="I43" s="55">
        <f>8755</f>
        <v>8755</v>
      </c>
      <c r="J43" s="99">
        <f t="shared" si="6"/>
        <v>88.53271311558298</v>
      </c>
      <c r="K43" s="31">
        <f t="shared" si="8"/>
        <v>77.3341577599152</v>
      </c>
      <c r="L43" s="48">
        <f t="shared" si="9"/>
        <v>100.86405529953917</v>
      </c>
    </row>
    <row r="44" spans="1:12" ht="12.75">
      <c r="A44" s="19" t="s">
        <v>31</v>
      </c>
      <c r="B44" s="86">
        <v>699050</v>
      </c>
      <c r="C44" s="20">
        <v>704584</v>
      </c>
      <c r="D44" s="20">
        <v>706122</v>
      </c>
      <c r="E44" s="20">
        <v>487</v>
      </c>
      <c r="F44" s="20"/>
      <c r="G44" s="180"/>
      <c r="H44" s="20">
        <f t="shared" si="5"/>
        <v>706609</v>
      </c>
      <c r="I44" s="86">
        <f>705736+1</f>
        <v>705737</v>
      </c>
      <c r="J44" s="100">
        <f t="shared" si="6"/>
        <v>99.94547684394482</v>
      </c>
      <c r="K44" s="35">
        <f t="shared" si="8"/>
        <v>99.8765937031654</v>
      </c>
      <c r="L44" s="48">
        <f t="shared" si="9"/>
        <v>100.95658393534082</v>
      </c>
    </row>
    <row r="45" spans="1:12" ht="12.75">
      <c r="A45" s="19" t="s">
        <v>32</v>
      </c>
      <c r="B45" s="86">
        <v>20473</v>
      </c>
      <c r="C45" s="20">
        <v>20624</v>
      </c>
      <c r="D45" s="20">
        <v>20668.84</v>
      </c>
      <c r="E45" s="20"/>
      <c r="F45" s="20"/>
      <c r="G45" s="180"/>
      <c r="H45" s="20">
        <f t="shared" si="5"/>
        <v>20668.84</v>
      </c>
      <c r="I45" s="86">
        <v>20669</v>
      </c>
      <c r="J45" s="100">
        <f t="shared" si="6"/>
        <v>100.00077411214174</v>
      </c>
      <c r="K45" s="35">
        <f t="shared" si="8"/>
        <v>100.00077411214174</v>
      </c>
      <c r="L45" s="48">
        <f t="shared" si="9"/>
        <v>100.95735847213403</v>
      </c>
    </row>
    <row r="46" spans="1:12" ht="12.75">
      <c r="A46" s="19" t="s">
        <v>49</v>
      </c>
      <c r="B46" s="86">
        <v>418148</v>
      </c>
      <c r="C46" s="16">
        <v>754553</v>
      </c>
      <c r="D46" s="20">
        <v>754553</v>
      </c>
      <c r="E46" s="20"/>
      <c r="F46" s="20"/>
      <c r="G46" s="180"/>
      <c r="H46" s="20">
        <f t="shared" si="5"/>
        <v>754553</v>
      </c>
      <c r="I46" s="86">
        <f>425150+1</f>
        <v>425151</v>
      </c>
      <c r="J46" s="98">
        <f t="shared" si="6"/>
        <v>56.34474980551399</v>
      </c>
      <c r="K46" s="35">
        <f t="shared" si="8"/>
        <v>56.34474980551399</v>
      </c>
      <c r="L46" s="48">
        <f t="shared" si="9"/>
        <v>101.67476587237054</v>
      </c>
    </row>
    <row r="47" spans="1:12" ht="12.75">
      <c r="A47" s="19" t="s">
        <v>34</v>
      </c>
      <c r="B47" s="20">
        <f aca="true" t="shared" si="10" ref="B47:G47">B49+B50+B51+B53+B57</f>
        <v>570328</v>
      </c>
      <c r="C47" s="16">
        <f t="shared" si="10"/>
        <v>573007</v>
      </c>
      <c r="D47" s="16">
        <f t="shared" si="10"/>
        <v>635740.63</v>
      </c>
      <c r="E47" s="16">
        <f t="shared" si="10"/>
        <v>34198</v>
      </c>
      <c r="F47" s="16">
        <f t="shared" si="10"/>
        <v>8722</v>
      </c>
      <c r="G47" s="180">
        <f t="shared" si="10"/>
        <v>0</v>
      </c>
      <c r="H47" s="16">
        <f t="shared" si="5"/>
        <v>678660.63</v>
      </c>
      <c r="I47" s="74">
        <f>I49+I50+I51+I53+I57</f>
        <v>594138.623</v>
      </c>
      <c r="J47" s="101">
        <f t="shared" si="6"/>
        <v>93.45613524811212</v>
      </c>
      <c r="K47" s="34">
        <f t="shared" si="8"/>
        <v>87.54576245272987</v>
      </c>
      <c r="L47" s="48">
        <f t="shared" si="9"/>
        <v>104.17489988217308</v>
      </c>
    </row>
    <row r="48" spans="1:12" ht="12.75">
      <c r="A48" s="9" t="s">
        <v>35</v>
      </c>
      <c r="B48" s="10"/>
      <c r="C48" s="10"/>
      <c r="D48" s="10"/>
      <c r="E48" s="10"/>
      <c r="F48" s="10"/>
      <c r="G48" s="175"/>
      <c r="H48" s="10"/>
      <c r="I48" s="55"/>
      <c r="J48" s="55"/>
      <c r="K48" s="31"/>
      <c r="L48" s="48"/>
    </row>
    <row r="49" spans="1:12" ht="12.75">
      <c r="A49" s="9" t="s">
        <v>36</v>
      </c>
      <c r="B49" s="55">
        <v>59778</v>
      </c>
      <c r="C49" s="10">
        <v>90032</v>
      </c>
      <c r="D49" s="10">
        <v>116252.3</v>
      </c>
      <c r="E49" s="10">
        <v>3952</v>
      </c>
      <c r="F49" s="10">
        <v>630</v>
      </c>
      <c r="G49" s="175"/>
      <c r="H49" s="10">
        <f t="shared" si="5"/>
        <v>120834.3</v>
      </c>
      <c r="I49" s="55">
        <v>79842</v>
      </c>
      <c r="J49" s="99">
        <f t="shared" si="6"/>
        <v>68.6799314938285</v>
      </c>
      <c r="K49" s="31">
        <f aca="true" t="shared" si="11" ref="K49:K61">I49/H49*100</f>
        <v>66.07560932615986</v>
      </c>
      <c r="L49" s="48">
        <f t="shared" si="9"/>
        <v>133.5641874937268</v>
      </c>
    </row>
    <row r="50" spans="1:12" ht="12.75">
      <c r="A50" s="9" t="s">
        <v>37</v>
      </c>
      <c r="B50" s="55">
        <v>105441</v>
      </c>
      <c r="C50" s="10">
        <v>105403</v>
      </c>
      <c r="D50" s="10">
        <v>106869.65</v>
      </c>
      <c r="E50" s="10"/>
      <c r="F50" s="10"/>
      <c r="G50" s="175"/>
      <c r="H50" s="10">
        <f t="shared" si="5"/>
        <v>106869.65</v>
      </c>
      <c r="I50" s="55">
        <v>106252</v>
      </c>
      <c r="J50" s="99">
        <f t="shared" si="6"/>
        <v>99.42205294019398</v>
      </c>
      <c r="K50" s="31">
        <f t="shared" si="11"/>
        <v>99.42205294019398</v>
      </c>
      <c r="L50" s="48">
        <f t="shared" si="9"/>
        <v>100.76915052019612</v>
      </c>
    </row>
    <row r="51" spans="1:12" ht="12.75">
      <c r="A51" s="9" t="s">
        <v>38</v>
      </c>
      <c r="B51" s="55">
        <v>255695</v>
      </c>
      <c r="C51" s="10">
        <v>233872</v>
      </c>
      <c r="D51" s="10">
        <v>243148.77</v>
      </c>
      <c r="E51" s="10">
        <v>18384</v>
      </c>
      <c r="F51" s="10">
        <v>627</v>
      </c>
      <c r="G51" s="175"/>
      <c r="H51" s="10">
        <f t="shared" si="5"/>
        <v>262159.77</v>
      </c>
      <c r="I51" s="55">
        <f>239248-1</f>
        <v>239247</v>
      </c>
      <c r="J51" s="99">
        <f t="shared" si="6"/>
        <v>98.39531575668674</v>
      </c>
      <c r="K51" s="31">
        <f t="shared" si="11"/>
        <v>91.25999767241174</v>
      </c>
      <c r="L51" s="48">
        <f t="shared" si="9"/>
        <v>93.56733608400634</v>
      </c>
    </row>
    <row r="52" spans="1:12" ht="12.75">
      <c r="A52" s="9" t="s">
        <v>39</v>
      </c>
      <c r="B52" s="55">
        <v>61994</v>
      </c>
      <c r="C52" s="10">
        <v>62375</v>
      </c>
      <c r="D52" s="10">
        <v>58349.54</v>
      </c>
      <c r="E52" s="10"/>
      <c r="F52" s="10"/>
      <c r="G52" s="175"/>
      <c r="H52" s="10">
        <f t="shared" si="5"/>
        <v>58349.54</v>
      </c>
      <c r="I52" s="55">
        <v>58309</v>
      </c>
      <c r="J52" s="99">
        <f t="shared" si="6"/>
        <v>99.93052216007186</v>
      </c>
      <c r="K52" s="31">
        <f t="shared" si="11"/>
        <v>99.93052216007186</v>
      </c>
      <c r="L52" s="48">
        <f t="shared" si="9"/>
        <v>94.05587637513307</v>
      </c>
    </row>
    <row r="53" spans="1:12" ht="12.75">
      <c r="A53" s="9" t="s">
        <v>40</v>
      </c>
      <c r="B53" s="55">
        <v>84085</v>
      </c>
      <c r="C53" s="10">
        <v>86178</v>
      </c>
      <c r="D53" s="10">
        <v>96613.91</v>
      </c>
      <c r="E53" s="10">
        <v>703</v>
      </c>
      <c r="F53" s="10">
        <v>7434</v>
      </c>
      <c r="G53" s="175"/>
      <c r="H53" s="10">
        <f t="shared" si="5"/>
        <v>104750.91</v>
      </c>
      <c r="I53" s="55">
        <v>98336</v>
      </c>
      <c r="J53" s="99">
        <f t="shared" si="6"/>
        <v>101.78244519862616</v>
      </c>
      <c r="K53" s="31">
        <f t="shared" si="11"/>
        <v>93.87603410796144</v>
      </c>
      <c r="L53" s="48">
        <f t="shared" si="9"/>
        <v>116.94832609859071</v>
      </c>
    </row>
    <row r="54" spans="1:12" ht="12.75">
      <c r="A54" s="9" t="s">
        <v>41</v>
      </c>
      <c r="B54" s="55">
        <v>40469</v>
      </c>
      <c r="C54" s="10">
        <v>31615</v>
      </c>
      <c r="D54" s="10">
        <v>40537</v>
      </c>
      <c r="E54" s="10">
        <v>80</v>
      </c>
      <c r="F54" s="10"/>
      <c r="G54" s="175"/>
      <c r="H54" s="10">
        <f t="shared" si="5"/>
        <v>40617</v>
      </c>
      <c r="I54" s="55">
        <v>39203</v>
      </c>
      <c r="J54" s="99">
        <f t="shared" si="6"/>
        <v>96.70917926832277</v>
      </c>
      <c r="K54" s="31">
        <f t="shared" si="11"/>
        <v>96.51869906689318</v>
      </c>
      <c r="L54" s="48">
        <f t="shared" si="9"/>
        <v>96.87167955719192</v>
      </c>
    </row>
    <row r="55" spans="1:12" ht="12.75">
      <c r="A55" s="9" t="s">
        <v>42</v>
      </c>
      <c r="B55" s="55">
        <v>592</v>
      </c>
      <c r="C55" s="10">
        <v>0</v>
      </c>
      <c r="D55" s="10">
        <v>1250</v>
      </c>
      <c r="E55" s="10"/>
      <c r="F55" s="10"/>
      <c r="G55" s="175"/>
      <c r="H55" s="10">
        <f t="shared" si="5"/>
        <v>1250</v>
      </c>
      <c r="I55" s="55">
        <v>1140</v>
      </c>
      <c r="J55" s="99">
        <f t="shared" si="6"/>
        <v>91.2</v>
      </c>
      <c r="K55" s="31">
        <f t="shared" si="11"/>
        <v>91.2</v>
      </c>
      <c r="L55" s="48">
        <f t="shared" si="9"/>
        <v>192.56756756756758</v>
      </c>
    </row>
    <row r="56" spans="1:12" ht="12.75">
      <c r="A56" s="9" t="s">
        <v>43</v>
      </c>
      <c r="B56" s="55">
        <v>35540</v>
      </c>
      <c r="C56" s="10">
        <v>46145</v>
      </c>
      <c r="D56" s="10">
        <v>46948</v>
      </c>
      <c r="E56" s="10">
        <v>623</v>
      </c>
      <c r="F56" s="10">
        <v>7434</v>
      </c>
      <c r="G56" s="175"/>
      <c r="H56" s="10">
        <f>D56+E56+F56+G56</f>
        <v>55005</v>
      </c>
      <c r="I56" s="55">
        <v>50125</v>
      </c>
      <c r="J56" s="99">
        <f t="shared" si="6"/>
        <v>106.76706142966688</v>
      </c>
      <c r="K56" s="31">
        <f t="shared" si="11"/>
        <v>91.12807926552131</v>
      </c>
      <c r="L56" s="48">
        <f t="shared" si="9"/>
        <v>141.03826674169952</v>
      </c>
    </row>
    <row r="57" spans="1:12" ht="13.5" thickBot="1">
      <c r="A57" s="41" t="s">
        <v>44</v>
      </c>
      <c r="B57" s="75">
        <v>65329</v>
      </c>
      <c r="C57" s="42">
        <v>57522</v>
      </c>
      <c r="D57" s="42">
        <v>72856</v>
      </c>
      <c r="E57" s="42">
        <v>11159</v>
      </c>
      <c r="F57" s="42">
        <v>31</v>
      </c>
      <c r="G57" s="182"/>
      <c r="H57" s="42">
        <f t="shared" si="5"/>
        <v>84046</v>
      </c>
      <c r="I57" s="75">
        <v>70461.623</v>
      </c>
      <c r="J57" s="102">
        <f t="shared" si="6"/>
        <v>96.71354864390031</v>
      </c>
      <c r="K57" s="62">
        <f t="shared" si="11"/>
        <v>83.83697380006187</v>
      </c>
      <c r="L57" s="50">
        <f t="shared" si="9"/>
        <v>107.85657671172069</v>
      </c>
    </row>
    <row r="58" spans="1:12" ht="12.75">
      <c r="A58" s="9" t="s">
        <v>45</v>
      </c>
      <c r="B58" s="55">
        <v>5467</v>
      </c>
      <c r="C58" s="10">
        <v>5734</v>
      </c>
      <c r="D58" s="10">
        <v>5728</v>
      </c>
      <c r="E58" s="10"/>
      <c r="F58" s="10"/>
      <c r="G58" s="10"/>
      <c r="H58" s="10">
        <f>D58+E58+F58</f>
        <v>5728</v>
      </c>
      <c r="I58" s="10">
        <v>5371</v>
      </c>
      <c r="J58" s="31">
        <f t="shared" si="6"/>
        <v>93.76745810055866</v>
      </c>
      <c r="K58" s="31">
        <f t="shared" si="11"/>
        <v>93.76745810055866</v>
      </c>
      <c r="L58" s="48">
        <f t="shared" si="9"/>
        <v>98.24400951161515</v>
      </c>
    </row>
    <row r="59" spans="1:12" ht="12.75" hidden="1">
      <c r="A59" s="9" t="s">
        <v>85</v>
      </c>
      <c r="B59" s="55">
        <v>1498298</v>
      </c>
      <c r="C59" s="10"/>
      <c r="D59" s="10"/>
      <c r="E59" s="10"/>
      <c r="F59" s="10"/>
      <c r="G59" s="10"/>
      <c r="H59" s="10">
        <f>D59+E59+F59</f>
        <v>0</v>
      </c>
      <c r="I59" s="10"/>
      <c r="J59" s="10" t="e">
        <f t="shared" si="6"/>
        <v>#DIV/0!</v>
      </c>
      <c r="K59" s="31" t="e">
        <f t="shared" si="11"/>
        <v>#DIV/0!</v>
      </c>
      <c r="L59" s="48">
        <f t="shared" si="9"/>
        <v>0</v>
      </c>
    </row>
    <row r="60" spans="1:12" ht="12.75">
      <c r="A60" s="9" t="s">
        <v>46</v>
      </c>
      <c r="B60" s="10">
        <f>B42/B58/12*1000</f>
        <v>31207.883665630146</v>
      </c>
      <c r="C60" s="10">
        <f>C42/C58/12*1000</f>
        <v>29973.578653644923</v>
      </c>
      <c r="D60" s="10">
        <f>D42/D58/12*1000</f>
        <v>30070.773684823092</v>
      </c>
      <c r="E60" s="10"/>
      <c r="F60" s="10"/>
      <c r="G60" s="10"/>
      <c r="H60" s="10">
        <f>H42/H58/12*1000</f>
        <v>30070.773684823092</v>
      </c>
      <c r="I60" s="10">
        <f>I42/I58/12*1000</f>
        <v>32069.524607459818</v>
      </c>
      <c r="J60" s="31">
        <f t="shared" si="6"/>
        <v>106.64682240499022</v>
      </c>
      <c r="K60" s="31">
        <f t="shared" si="11"/>
        <v>106.64682240499022</v>
      </c>
      <c r="L60" s="48">
        <f t="shared" si="9"/>
        <v>102.7609720385449</v>
      </c>
    </row>
    <row r="61" spans="1:13" ht="13.5" thickBot="1">
      <c r="A61" s="5" t="s">
        <v>47</v>
      </c>
      <c r="B61" s="11">
        <f>B47/B58*1000</f>
        <v>104321.93158953723</v>
      </c>
      <c r="C61" s="11">
        <f>C47/C58*1000</f>
        <v>99931.46145797</v>
      </c>
      <c r="D61" s="11">
        <f>D47/D58*1000</f>
        <v>110988.23847765363</v>
      </c>
      <c r="E61" s="11"/>
      <c r="F61" s="11"/>
      <c r="G61" s="11"/>
      <c r="H61" s="11">
        <f>H47/H58*1000</f>
        <v>118481.25523743016</v>
      </c>
      <c r="I61" s="11">
        <f>I47/I58*1000</f>
        <v>110619.73989946007</v>
      </c>
      <c r="J61" s="60">
        <f t="shared" si="6"/>
        <v>99.66798411863455</v>
      </c>
      <c r="K61" s="60">
        <f t="shared" si="11"/>
        <v>93.36476025493144</v>
      </c>
      <c r="L61" s="58">
        <f t="shared" si="9"/>
        <v>106.03689772032025</v>
      </c>
      <c r="M61" s="21"/>
    </row>
    <row r="62" spans="9:10" ht="12.75">
      <c r="I62" s="71"/>
      <c r="J62" s="71"/>
    </row>
    <row r="63" ht="12.75">
      <c r="A63" s="1" t="s">
        <v>61</v>
      </c>
    </row>
    <row r="64" spans="1:2" ht="12.75">
      <c r="A64" s="82" t="s">
        <v>71</v>
      </c>
      <c r="B64" s="71"/>
    </row>
    <row r="65" ht="12.75">
      <c r="A65" s="82" t="s">
        <v>66</v>
      </c>
    </row>
    <row r="66" ht="12.75">
      <c r="A66" s="82" t="s">
        <v>72</v>
      </c>
    </row>
    <row r="67" ht="12.75">
      <c r="A67" s="1" t="s">
        <v>68</v>
      </c>
    </row>
    <row r="68" ht="12.75">
      <c r="A68" s="1" t="s">
        <v>70</v>
      </c>
    </row>
    <row r="69" spans="1:11" ht="12.75">
      <c r="A69" s="235" t="s">
        <v>67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</row>
  </sheetData>
  <sheetProtection/>
  <mergeCells count="1">
    <mergeCell ref="A69:K69"/>
  </mergeCells>
  <printOptions/>
  <pageMargins left="0.984251968503937" right="0" top="0.984251968503937" bottom="0" header="0.5118110236220472" footer="0.5118110236220472"/>
  <pageSetup fitToHeight="1" fitToWidth="1" horizontalDpi="600" verticalDpi="600" orientation="portrait" paperSize="9" scale="74" r:id="rId1"/>
  <headerFooter alignWithMargins="0">
    <oddHeader>&amp;R&amp;"Arial CE,Tučné"&amp;12&amp;UPříloha č. 3 c)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zoomScale="120" zoomScaleNormal="120" workbookViewId="0" topLeftCell="A1">
      <selection activeCell="N24" sqref="N24"/>
    </sheetView>
  </sheetViews>
  <sheetFormatPr defaultColWidth="9.125" defaultRowHeight="12.75"/>
  <cols>
    <col min="1" max="1" width="33.125" style="1" customWidth="1"/>
    <col min="2" max="2" width="9.375" style="38" customWidth="1"/>
    <col min="3" max="4" width="8.625" style="1" customWidth="1"/>
    <col min="5" max="5" width="9.00390625" style="1" customWidth="1"/>
    <col min="6" max="6" width="8.125" style="1" customWidth="1"/>
    <col min="7" max="7" width="11.125" style="1" hidden="1" customWidth="1"/>
    <col min="8" max="8" width="8.875" style="1" customWidth="1"/>
    <col min="9" max="10" width="10.00390625" style="1" customWidth="1"/>
    <col min="11" max="11" width="8.375" style="1" bestFit="1" customWidth="1"/>
    <col min="12" max="12" width="10.25390625" style="1" customWidth="1"/>
    <col min="13" max="16384" width="9.125" style="1" customWidth="1"/>
  </cols>
  <sheetData>
    <row r="1" spans="1:2" ht="12.75">
      <c r="A1" s="97" t="s">
        <v>51</v>
      </c>
      <c r="B1" s="37"/>
    </row>
    <row r="2" ht="12.75">
      <c r="A2" s="1" t="s">
        <v>86</v>
      </c>
    </row>
    <row r="3" spans="9:12" ht="13.5" thickBot="1">
      <c r="I3" s="2"/>
      <c r="J3" s="2"/>
      <c r="L3" s="22"/>
    </row>
    <row r="4" spans="1:12" ht="12.75">
      <c r="A4" s="3"/>
      <c r="B4" s="40">
        <v>2012</v>
      </c>
      <c r="C4" s="25"/>
      <c r="D4" s="25">
        <v>2013</v>
      </c>
      <c r="E4" s="25"/>
      <c r="F4" s="25"/>
      <c r="G4" s="25"/>
      <c r="H4" s="25"/>
      <c r="I4" s="25"/>
      <c r="J4" s="25"/>
      <c r="K4" s="26"/>
      <c r="L4" s="17" t="s">
        <v>84</v>
      </c>
    </row>
    <row r="5" spans="1:12" ht="12.75">
      <c r="A5" s="4" t="s">
        <v>0</v>
      </c>
      <c r="B5" s="39" t="s">
        <v>1</v>
      </c>
      <c r="C5" s="27" t="s">
        <v>89</v>
      </c>
      <c r="D5" s="28"/>
      <c r="E5" s="80"/>
      <c r="F5" s="80"/>
      <c r="G5" s="80"/>
      <c r="H5" s="80"/>
      <c r="I5" s="23" t="s">
        <v>1</v>
      </c>
      <c r="J5" s="23" t="s">
        <v>2</v>
      </c>
      <c r="K5" s="23" t="s">
        <v>2</v>
      </c>
      <c r="L5" s="17" t="s">
        <v>3</v>
      </c>
    </row>
    <row r="6" spans="1:12" ht="13.5" thickBot="1">
      <c r="A6" s="5"/>
      <c r="B6" s="115" t="s">
        <v>87</v>
      </c>
      <c r="C6" s="24" t="s">
        <v>4</v>
      </c>
      <c r="D6" s="24" t="s">
        <v>62</v>
      </c>
      <c r="E6" s="81" t="s">
        <v>59</v>
      </c>
      <c r="F6" s="81" t="s">
        <v>60</v>
      </c>
      <c r="G6" s="172" t="s">
        <v>80</v>
      </c>
      <c r="H6" s="81" t="s">
        <v>64</v>
      </c>
      <c r="I6" s="195" t="s">
        <v>87</v>
      </c>
      <c r="J6" s="24" t="s">
        <v>78</v>
      </c>
      <c r="K6" s="24" t="s">
        <v>65</v>
      </c>
      <c r="L6" s="56" t="s">
        <v>5</v>
      </c>
    </row>
    <row r="7" spans="1:12" ht="13.5" thickBot="1">
      <c r="A7" s="5" t="s">
        <v>6</v>
      </c>
      <c r="B7" s="29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8" t="s">
        <v>81</v>
      </c>
      <c r="K7" s="29" t="s">
        <v>82</v>
      </c>
      <c r="L7" s="18" t="s">
        <v>83</v>
      </c>
    </row>
    <row r="8" spans="1:12" ht="12.75">
      <c r="A8" s="13" t="s">
        <v>7</v>
      </c>
      <c r="B8" s="8">
        <f>SUM(B10:B29)</f>
        <v>1255775</v>
      </c>
      <c r="C8" s="8">
        <f>SUM(C10:C29)</f>
        <v>700000</v>
      </c>
      <c r="D8" s="44">
        <f>SUM(D10:D29)</f>
        <v>700000</v>
      </c>
      <c r="E8" s="85" t="s">
        <v>63</v>
      </c>
      <c r="F8" s="44">
        <f>SUM(F10:F29)</f>
        <v>0</v>
      </c>
      <c r="G8" s="85" t="s">
        <v>63</v>
      </c>
      <c r="H8" s="44">
        <f>D8+F8</f>
        <v>700000</v>
      </c>
      <c r="I8" s="44">
        <f>I10+I13+I14+I15+I16+I17+I18+I19+I20+I21+I22+I23+I24+I25+I26+I27+I28+I29</f>
        <v>1100960</v>
      </c>
      <c r="J8" s="170">
        <f>I8/D8*100</f>
        <v>157.28</v>
      </c>
      <c r="K8" s="30">
        <f>I8/H8*100</f>
        <v>157.28</v>
      </c>
      <c r="L8" s="47">
        <f>I8/B8*100</f>
        <v>87.67175648503913</v>
      </c>
    </row>
    <row r="9" spans="1:14" ht="12.75">
      <c r="A9" s="9" t="s">
        <v>8</v>
      </c>
      <c r="B9" s="10"/>
      <c r="C9" s="10"/>
      <c r="D9" s="10"/>
      <c r="E9" s="84"/>
      <c r="F9" s="10"/>
      <c r="G9" s="84"/>
      <c r="H9" s="10"/>
      <c r="I9" s="87"/>
      <c r="J9" s="31"/>
      <c r="K9" s="31"/>
      <c r="L9" s="45"/>
      <c r="N9" s="38"/>
    </row>
    <row r="10" spans="1:12" ht="12.75">
      <c r="A10" s="67" t="s">
        <v>57</v>
      </c>
      <c r="B10" s="10"/>
      <c r="C10" s="10"/>
      <c r="D10" s="212"/>
      <c r="E10" s="84" t="s">
        <v>63</v>
      </c>
      <c r="F10" s="10"/>
      <c r="G10" s="84" t="s">
        <v>63</v>
      </c>
      <c r="H10" s="10">
        <f aca="true" t="shared" si="0" ref="H10:H29">D10+F10</f>
        <v>0</v>
      </c>
      <c r="I10" s="212"/>
      <c r="J10" s="31"/>
      <c r="K10" s="31"/>
      <c r="L10" s="45"/>
    </row>
    <row r="11" spans="1:12" ht="12.75">
      <c r="A11" s="67" t="s">
        <v>91</v>
      </c>
      <c r="B11" s="10"/>
      <c r="C11" s="10"/>
      <c r="D11" s="212"/>
      <c r="E11" s="84" t="s">
        <v>63</v>
      </c>
      <c r="F11" s="10"/>
      <c r="G11" s="84" t="s">
        <v>63</v>
      </c>
      <c r="H11" s="10"/>
      <c r="I11" s="212"/>
      <c r="J11" s="31"/>
      <c r="K11" s="31"/>
      <c r="L11" s="45"/>
    </row>
    <row r="12" spans="1:12" ht="12.75">
      <c r="A12" s="67" t="s">
        <v>9</v>
      </c>
      <c r="B12" s="10"/>
      <c r="C12" s="10"/>
      <c r="D12" s="212"/>
      <c r="E12" s="84" t="s">
        <v>63</v>
      </c>
      <c r="F12" s="10"/>
      <c r="G12" s="84" t="s">
        <v>63</v>
      </c>
      <c r="H12" s="10">
        <f t="shared" si="0"/>
        <v>0</v>
      </c>
      <c r="I12" s="212"/>
      <c r="J12" s="31"/>
      <c r="K12" s="31"/>
      <c r="L12" s="48"/>
    </row>
    <row r="13" spans="1:14" ht="12.75">
      <c r="A13" s="67" t="s">
        <v>10</v>
      </c>
      <c r="B13" s="10"/>
      <c r="C13" s="10"/>
      <c r="D13" s="212"/>
      <c r="E13" s="84" t="s">
        <v>63</v>
      </c>
      <c r="F13" s="10"/>
      <c r="G13" s="84" t="s">
        <v>63</v>
      </c>
      <c r="H13" s="10">
        <f t="shared" si="0"/>
        <v>0</v>
      </c>
      <c r="I13" s="212"/>
      <c r="J13" s="31"/>
      <c r="K13" s="31"/>
      <c r="L13" s="48"/>
      <c r="N13" s="38"/>
    </row>
    <row r="14" spans="1:14" ht="12.75">
      <c r="A14" s="9" t="s">
        <v>11</v>
      </c>
      <c r="B14" s="10">
        <v>8079</v>
      </c>
      <c r="C14" s="10">
        <v>0</v>
      </c>
      <c r="D14" s="212">
        <v>0</v>
      </c>
      <c r="E14" s="84" t="s">
        <v>63</v>
      </c>
      <c r="F14" s="10"/>
      <c r="G14" s="84" t="s">
        <v>63</v>
      </c>
      <c r="H14" s="10">
        <f t="shared" si="0"/>
        <v>0</v>
      </c>
      <c r="I14" s="212">
        <v>13150</v>
      </c>
      <c r="J14" s="31"/>
      <c r="K14" s="31"/>
      <c r="L14" s="48">
        <f aca="true" t="shared" si="1" ref="L14:L29">I14/B14*100</f>
        <v>162.76766926599825</v>
      </c>
      <c r="N14" s="1" t="s">
        <v>52</v>
      </c>
    </row>
    <row r="15" spans="1:12" ht="12.75">
      <c r="A15" s="53" t="s">
        <v>53</v>
      </c>
      <c r="B15" s="10"/>
      <c r="C15" s="10"/>
      <c r="D15" s="212"/>
      <c r="E15" s="84" t="s">
        <v>63</v>
      </c>
      <c r="F15" s="10"/>
      <c r="G15" s="84" t="s">
        <v>63</v>
      </c>
      <c r="H15" s="10">
        <f t="shared" si="0"/>
        <v>0</v>
      </c>
      <c r="I15" s="212"/>
      <c r="J15" s="31"/>
      <c r="K15" s="31"/>
      <c r="L15" s="48"/>
    </row>
    <row r="16" spans="1:12" ht="12.75">
      <c r="A16" s="9" t="s">
        <v>12</v>
      </c>
      <c r="B16" s="10">
        <v>149085</v>
      </c>
      <c r="C16" s="10">
        <v>97000</v>
      </c>
      <c r="D16" s="212">
        <v>96964</v>
      </c>
      <c r="E16" s="84" t="s">
        <v>63</v>
      </c>
      <c r="F16" s="10"/>
      <c r="G16" s="84" t="s">
        <v>63</v>
      </c>
      <c r="H16" s="10">
        <f t="shared" si="0"/>
        <v>96964</v>
      </c>
      <c r="I16" s="212">
        <v>153368</v>
      </c>
      <c r="J16" s="31">
        <f>I16/D16*100</f>
        <v>158.1700424899963</v>
      </c>
      <c r="K16" s="31">
        <f>I16/H16*100</f>
        <v>158.1700424899963</v>
      </c>
      <c r="L16" s="48">
        <f t="shared" si="1"/>
        <v>102.87285776570411</v>
      </c>
    </row>
    <row r="17" spans="1:12" ht="12.75">
      <c r="A17" s="9" t="s">
        <v>13</v>
      </c>
      <c r="B17" s="10">
        <v>32</v>
      </c>
      <c r="C17" s="10">
        <v>0</v>
      </c>
      <c r="D17" s="212">
        <v>0</v>
      </c>
      <c r="E17" s="84" t="s">
        <v>63</v>
      </c>
      <c r="F17" s="10"/>
      <c r="G17" s="84" t="s">
        <v>63</v>
      </c>
      <c r="H17" s="10">
        <f t="shared" si="0"/>
        <v>0</v>
      </c>
      <c r="I17" s="212">
        <v>201</v>
      </c>
      <c r="J17" s="31"/>
      <c r="K17" s="31"/>
      <c r="L17" s="48">
        <f t="shared" si="1"/>
        <v>628.125</v>
      </c>
    </row>
    <row r="18" spans="1:12" ht="12.75">
      <c r="A18" s="9" t="s">
        <v>14</v>
      </c>
      <c r="B18" s="55">
        <v>4503</v>
      </c>
      <c r="C18" s="10">
        <v>0</v>
      </c>
      <c r="D18" s="212">
        <v>2</v>
      </c>
      <c r="E18" s="84" t="s">
        <v>63</v>
      </c>
      <c r="F18" s="10"/>
      <c r="G18" s="84" t="s">
        <v>63</v>
      </c>
      <c r="H18" s="10">
        <f t="shared" si="0"/>
        <v>2</v>
      </c>
      <c r="I18" s="202">
        <v>3625</v>
      </c>
      <c r="J18" s="99">
        <f>I18/D18*100</f>
        <v>181250</v>
      </c>
      <c r="K18" s="31">
        <f>I18/H18*100</f>
        <v>181250</v>
      </c>
      <c r="L18" s="48">
        <f t="shared" si="1"/>
        <v>80.50188763046857</v>
      </c>
    </row>
    <row r="19" spans="1:12" ht="12.75">
      <c r="A19" s="9" t="s">
        <v>15</v>
      </c>
      <c r="B19" s="55">
        <v>3347</v>
      </c>
      <c r="C19" s="10">
        <v>1000</v>
      </c>
      <c r="D19" s="202">
        <v>1000</v>
      </c>
      <c r="E19" s="84" t="s">
        <v>63</v>
      </c>
      <c r="F19" s="10"/>
      <c r="G19" s="84" t="s">
        <v>63</v>
      </c>
      <c r="H19" s="10">
        <f t="shared" si="0"/>
        <v>1000</v>
      </c>
      <c r="I19" s="202">
        <v>2840</v>
      </c>
      <c r="J19" s="31">
        <f>I19/D19*100</f>
        <v>284</v>
      </c>
      <c r="K19" s="31">
        <f>I19/H19*100</f>
        <v>284</v>
      </c>
      <c r="L19" s="48">
        <f t="shared" si="1"/>
        <v>84.85210636390798</v>
      </c>
    </row>
    <row r="20" spans="1:12" ht="12.75">
      <c r="A20" s="9" t="s">
        <v>16</v>
      </c>
      <c r="B20" s="55">
        <v>193915</v>
      </c>
      <c r="C20" s="10">
        <v>103000</v>
      </c>
      <c r="D20" s="212">
        <v>103034</v>
      </c>
      <c r="E20" s="84" t="s">
        <v>63</v>
      </c>
      <c r="F20" s="10"/>
      <c r="G20" s="84" t="s">
        <v>63</v>
      </c>
      <c r="H20" s="10">
        <f t="shared" si="0"/>
        <v>103034</v>
      </c>
      <c r="I20" s="202">
        <v>253882</v>
      </c>
      <c r="J20" s="31">
        <f>I20/D20*100</f>
        <v>246.40604072442108</v>
      </c>
      <c r="K20" s="31">
        <f>I20/H20*100</f>
        <v>246.40604072442108</v>
      </c>
      <c r="L20" s="48">
        <f t="shared" si="1"/>
        <v>130.92437408142743</v>
      </c>
    </row>
    <row r="21" spans="1:12" ht="12.75">
      <c r="A21" s="9" t="s">
        <v>58</v>
      </c>
      <c r="B21" s="55"/>
      <c r="C21" s="10"/>
      <c r="D21" s="212"/>
      <c r="E21" s="84" t="s">
        <v>63</v>
      </c>
      <c r="F21" s="10"/>
      <c r="G21" s="84" t="s">
        <v>63</v>
      </c>
      <c r="H21" s="10">
        <f t="shared" si="0"/>
        <v>0</v>
      </c>
      <c r="I21" s="202"/>
      <c r="J21" s="31"/>
      <c r="K21" s="31"/>
      <c r="L21" s="48"/>
    </row>
    <row r="22" spans="1:12" ht="12.75">
      <c r="A22" s="54" t="s">
        <v>54</v>
      </c>
      <c r="B22" s="55"/>
      <c r="C22" s="10"/>
      <c r="D22" s="212"/>
      <c r="E22" s="84" t="s">
        <v>63</v>
      </c>
      <c r="F22" s="10"/>
      <c r="G22" s="84" t="s">
        <v>63</v>
      </c>
      <c r="H22" s="10">
        <f t="shared" si="0"/>
        <v>0</v>
      </c>
      <c r="I22" s="202"/>
      <c r="J22" s="99"/>
      <c r="K22" s="31"/>
      <c r="L22" s="48"/>
    </row>
    <row r="23" spans="1:12" ht="12.75">
      <c r="A23" s="9" t="s">
        <v>17</v>
      </c>
      <c r="B23" s="10">
        <v>846135</v>
      </c>
      <c r="C23" s="10">
        <v>491000</v>
      </c>
      <c r="D23" s="212">
        <v>490100</v>
      </c>
      <c r="E23" s="84" t="s">
        <v>63</v>
      </c>
      <c r="F23" s="10"/>
      <c r="G23" s="84" t="s">
        <v>63</v>
      </c>
      <c r="H23" s="10">
        <f t="shared" si="0"/>
        <v>490100</v>
      </c>
      <c r="I23" s="212">
        <v>615909</v>
      </c>
      <c r="J23" s="31">
        <f>I23/D23*100</f>
        <v>125.6700673331973</v>
      </c>
      <c r="K23" s="31">
        <f>I23/H23*100</f>
        <v>125.6700673331973</v>
      </c>
      <c r="L23" s="48">
        <f t="shared" si="1"/>
        <v>72.79086670566754</v>
      </c>
    </row>
    <row r="24" spans="1:12" ht="12.75">
      <c r="A24" s="54" t="s">
        <v>55</v>
      </c>
      <c r="B24" s="10">
        <v>50033</v>
      </c>
      <c r="C24" s="10">
        <v>8000</v>
      </c>
      <c r="D24" s="212">
        <v>8900</v>
      </c>
      <c r="E24" s="84" t="s">
        <v>63</v>
      </c>
      <c r="F24" s="10"/>
      <c r="G24" s="84" t="s">
        <v>63</v>
      </c>
      <c r="H24" s="10">
        <f t="shared" si="0"/>
        <v>8900</v>
      </c>
      <c r="I24" s="212">
        <v>57055</v>
      </c>
      <c r="J24" s="31">
        <f>I24/D24*100</f>
        <v>641.0674157303371</v>
      </c>
      <c r="K24" s="31">
        <f>I24/H24*100</f>
        <v>641.0674157303371</v>
      </c>
      <c r="L24" s="48">
        <f t="shared" si="1"/>
        <v>114.03473707353146</v>
      </c>
    </row>
    <row r="25" spans="1:12" ht="12.75" customHeight="1">
      <c r="A25" s="9" t="s">
        <v>18</v>
      </c>
      <c r="B25" s="10"/>
      <c r="C25" s="10"/>
      <c r="D25" s="212"/>
      <c r="E25" s="84" t="s">
        <v>63</v>
      </c>
      <c r="F25" s="10"/>
      <c r="G25" s="84" t="s">
        <v>63</v>
      </c>
      <c r="H25" s="10">
        <f t="shared" si="0"/>
        <v>0</v>
      </c>
      <c r="I25" s="212"/>
      <c r="J25" s="31"/>
      <c r="K25" s="31"/>
      <c r="L25" s="48"/>
    </row>
    <row r="26" spans="1:12" ht="12.75" customHeight="1">
      <c r="A26" s="9" t="s">
        <v>76</v>
      </c>
      <c r="B26" s="10">
        <v>0</v>
      </c>
      <c r="C26" s="68"/>
      <c r="D26" s="212"/>
      <c r="E26" s="84" t="s">
        <v>63</v>
      </c>
      <c r="F26" s="10"/>
      <c r="G26" s="84" t="s">
        <v>63</v>
      </c>
      <c r="H26" s="10">
        <f t="shared" si="0"/>
        <v>0</v>
      </c>
      <c r="I26" s="212"/>
      <c r="J26" s="31"/>
      <c r="K26" s="31"/>
      <c r="L26" s="48"/>
    </row>
    <row r="27" spans="1:12" ht="12.75" customHeight="1">
      <c r="A27" s="9" t="s">
        <v>56</v>
      </c>
      <c r="B27" s="10"/>
      <c r="C27" s="68"/>
      <c r="D27" s="212"/>
      <c r="E27" s="84" t="s">
        <v>63</v>
      </c>
      <c r="F27" s="10"/>
      <c r="G27" s="84" t="s">
        <v>63</v>
      </c>
      <c r="H27" s="10">
        <f t="shared" si="0"/>
        <v>0</v>
      </c>
      <c r="I27" s="212"/>
      <c r="J27" s="31"/>
      <c r="K27" s="31"/>
      <c r="L27" s="48"/>
    </row>
    <row r="28" spans="1:12" ht="12.75" customHeight="1">
      <c r="A28" s="67" t="s">
        <v>77</v>
      </c>
      <c r="B28" s="68">
        <v>0</v>
      </c>
      <c r="C28" s="68"/>
      <c r="D28" s="212"/>
      <c r="E28" s="84" t="s">
        <v>63</v>
      </c>
      <c r="F28" s="68"/>
      <c r="G28" s="84" t="s">
        <v>63</v>
      </c>
      <c r="H28" s="68">
        <f t="shared" si="0"/>
        <v>0</v>
      </c>
      <c r="I28" s="214"/>
      <c r="J28" s="69"/>
      <c r="K28" s="69"/>
      <c r="L28" s="70"/>
    </row>
    <row r="29" spans="1:12" ht="13.5" thickBot="1">
      <c r="A29" s="5" t="s">
        <v>19</v>
      </c>
      <c r="B29" s="11">
        <v>646</v>
      </c>
      <c r="C29" s="11">
        <v>0</v>
      </c>
      <c r="D29" s="213">
        <v>0</v>
      </c>
      <c r="E29" s="29" t="s">
        <v>63</v>
      </c>
      <c r="F29" s="11"/>
      <c r="G29" s="29" t="s">
        <v>63</v>
      </c>
      <c r="H29" s="11">
        <f t="shared" si="0"/>
        <v>0</v>
      </c>
      <c r="I29" s="213">
        <v>930</v>
      </c>
      <c r="J29" s="60"/>
      <c r="K29" s="60"/>
      <c r="L29" s="58">
        <f t="shared" si="1"/>
        <v>143.9628482972136</v>
      </c>
    </row>
    <row r="30" spans="1:12" ht="12.75">
      <c r="A30" s="4"/>
      <c r="B30" s="12"/>
      <c r="C30" s="12"/>
      <c r="D30" s="12"/>
      <c r="E30" s="12"/>
      <c r="F30" s="12"/>
      <c r="G30" s="12"/>
      <c r="H30" s="12"/>
      <c r="I30" s="12"/>
      <c r="J30" s="32"/>
      <c r="K30" s="32"/>
      <c r="L30" s="64"/>
    </row>
    <row r="31" spans="1:12" ht="12.75">
      <c r="A31" s="61" t="s">
        <v>20</v>
      </c>
      <c r="B31" s="59">
        <f aca="true" t="shared" si="2" ref="B31:G31">B33+B39</f>
        <v>1551049</v>
      </c>
      <c r="C31" s="8">
        <f t="shared" si="2"/>
        <v>1496334</v>
      </c>
      <c r="D31" s="8">
        <f t="shared" si="2"/>
        <v>1598026</v>
      </c>
      <c r="E31" s="8">
        <f t="shared" si="2"/>
        <v>69050</v>
      </c>
      <c r="F31" s="8">
        <f t="shared" si="2"/>
        <v>0</v>
      </c>
      <c r="G31" s="174">
        <f t="shared" si="2"/>
        <v>0</v>
      </c>
      <c r="H31" s="8">
        <f>D31+E31+F31+G31</f>
        <v>1667076</v>
      </c>
      <c r="I31" s="8">
        <f>I33+I39</f>
        <v>1510607</v>
      </c>
      <c r="J31" s="30">
        <f>I31/D31*100</f>
        <v>94.52956334878156</v>
      </c>
      <c r="K31" s="30">
        <f>I31/H31*100</f>
        <v>90.61416516103645</v>
      </c>
      <c r="L31" s="63">
        <f>I31/B31*100</f>
        <v>97.39260332845706</v>
      </c>
    </row>
    <row r="32" spans="1:12" ht="12.75">
      <c r="A32" s="9" t="s">
        <v>21</v>
      </c>
      <c r="B32" s="10"/>
      <c r="C32" s="10"/>
      <c r="D32" s="10"/>
      <c r="E32" s="10"/>
      <c r="F32" s="10"/>
      <c r="G32" s="175"/>
      <c r="H32" s="10"/>
      <c r="I32" s="10"/>
      <c r="J32" s="31"/>
      <c r="K32" s="31"/>
      <c r="L32" s="45"/>
    </row>
    <row r="33" spans="1:12" ht="12.75">
      <c r="A33" s="61" t="s">
        <v>22</v>
      </c>
      <c r="B33" s="59">
        <f aca="true" t="shared" si="3" ref="B33:G33">B35+B36+B37</f>
        <v>141687</v>
      </c>
      <c r="C33" s="8">
        <f t="shared" si="3"/>
        <v>46500</v>
      </c>
      <c r="D33" s="8">
        <f t="shared" si="3"/>
        <v>116053</v>
      </c>
      <c r="E33" s="8">
        <f t="shared" si="3"/>
        <v>27263</v>
      </c>
      <c r="F33" s="8">
        <f t="shared" si="3"/>
        <v>0</v>
      </c>
      <c r="G33" s="174">
        <f t="shared" si="3"/>
        <v>0</v>
      </c>
      <c r="H33" s="8">
        <f aca="true" t="shared" si="4" ref="H33:H57">D33+E33+F33+G33</f>
        <v>143316</v>
      </c>
      <c r="I33" s="8">
        <f>I35+I36+I37</f>
        <v>92876</v>
      </c>
      <c r="J33" s="30">
        <f>I33/D33*100</f>
        <v>80.02895228904036</v>
      </c>
      <c r="K33" s="30">
        <f>I33/H33*100</f>
        <v>64.80504619163247</v>
      </c>
      <c r="L33" s="47">
        <f>I33/B33*100</f>
        <v>65.55012104145052</v>
      </c>
    </row>
    <row r="34" spans="1:12" ht="12.75">
      <c r="A34" s="9" t="s">
        <v>23</v>
      </c>
      <c r="B34" s="10"/>
      <c r="C34" s="10"/>
      <c r="D34" s="10"/>
      <c r="E34" s="10"/>
      <c r="F34" s="10"/>
      <c r="G34" s="175"/>
      <c r="H34" s="10">
        <f t="shared" si="4"/>
        <v>0</v>
      </c>
      <c r="I34" s="10"/>
      <c r="J34" s="31"/>
      <c r="K34" s="31"/>
      <c r="L34" s="48"/>
    </row>
    <row r="35" spans="1:12" ht="12.75">
      <c r="A35" s="9" t="s">
        <v>24</v>
      </c>
      <c r="B35" s="10">
        <v>129832</v>
      </c>
      <c r="C35" s="10">
        <v>34000</v>
      </c>
      <c r="D35" s="212">
        <v>95772</v>
      </c>
      <c r="E35" s="212">
        <v>14171</v>
      </c>
      <c r="F35" s="10"/>
      <c r="G35" s="175"/>
      <c r="H35" s="10">
        <f t="shared" si="4"/>
        <v>109943</v>
      </c>
      <c r="I35" s="212">
        <v>68577</v>
      </c>
      <c r="J35" s="31">
        <f aca="true" t="shared" si="5" ref="J35:J61">I35/D35*100</f>
        <v>71.60443553439418</v>
      </c>
      <c r="K35" s="31">
        <f>I35/H35*100</f>
        <v>62.375048888969744</v>
      </c>
      <c r="L35" s="48">
        <f>I35/B35*100</f>
        <v>52.81979789266128</v>
      </c>
    </row>
    <row r="36" spans="1:12" ht="12.75">
      <c r="A36" s="9" t="s">
        <v>25</v>
      </c>
      <c r="B36" s="10">
        <v>11855</v>
      </c>
      <c r="C36" s="10">
        <v>12500</v>
      </c>
      <c r="D36" s="212">
        <v>20281</v>
      </c>
      <c r="E36" s="212">
        <v>13092</v>
      </c>
      <c r="F36" s="10"/>
      <c r="G36" s="10"/>
      <c r="H36" s="10">
        <f t="shared" si="4"/>
        <v>33373</v>
      </c>
      <c r="I36" s="212">
        <v>24299</v>
      </c>
      <c r="J36" s="31">
        <f t="shared" si="5"/>
        <v>119.81164636852226</v>
      </c>
      <c r="K36" s="31">
        <f>I36/H36*100</f>
        <v>72.81035567674468</v>
      </c>
      <c r="L36" s="48">
        <f>I36/B36*100</f>
        <v>204.96836777730914</v>
      </c>
    </row>
    <row r="37" spans="1:12" ht="12.75">
      <c r="A37" s="13" t="s">
        <v>26</v>
      </c>
      <c r="B37" s="14"/>
      <c r="C37" s="14"/>
      <c r="D37" s="14"/>
      <c r="E37" s="14"/>
      <c r="F37" s="14"/>
      <c r="G37" s="177"/>
      <c r="H37" s="14">
        <f t="shared" si="4"/>
        <v>0</v>
      </c>
      <c r="I37" s="14"/>
      <c r="J37" s="33"/>
      <c r="K37" s="33"/>
      <c r="L37" s="47" t="e">
        <f>I37/B37*100</f>
        <v>#DIV/0!</v>
      </c>
    </row>
    <row r="38" spans="1:12" ht="12.75">
      <c r="A38" s="4"/>
      <c r="B38" s="12"/>
      <c r="C38" s="12"/>
      <c r="D38" s="12"/>
      <c r="E38" s="12"/>
      <c r="F38" s="12"/>
      <c r="G38" s="178"/>
      <c r="H38" s="12"/>
      <c r="I38" s="12"/>
      <c r="J38" s="32"/>
      <c r="K38" s="32"/>
      <c r="L38" s="49"/>
    </row>
    <row r="39" spans="1:12" ht="12.75">
      <c r="A39" s="61" t="s">
        <v>27</v>
      </c>
      <c r="B39" s="59">
        <f>B41+B44+B45+B46+B47</f>
        <v>1409362</v>
      </c>
      <c r="C39" s="8">
        <f>C41+C47+C44+C45+C46</f>
        <v>1449834</v>
      </c>
      <c r="D39" s="8">
        <f>D41+D47+D44+D45+D46</f>
        <v>1481973</v>
      </c>
      <c r="E39" s="8">
        <f>E41+E47+E44+E45+E46</f>
        <v>41787</v>
      </c>
      <c r="F39" s="8">
        <f>F41+F47+F44+F45+F46</f>
        <v>0</v>
      </c>
      <c r="G39" s="174">
        <f>G41+G47+G44+G45+G46</f>
        <v>0</v>
      </c>
      <c r="H39" s="8">
        <f t="shared" si="4"/>
        <v>1523760</v>
      </c>
      <c r="I39" s="8">
        <f>I41+I44+I45+I46+I47</f>
        <v>1417731</v>
      </c>
      <c r="J39" s="30">
        <f t="shared" si="5"/>
        <v>95.66510321038237</v>
      </c>
      <c r="K39" s="30">
        <f>I39/H39*100</f>
        <v>93.04162072767365</v>
      </c>
      <c r="L39" s="47">
        <f>I39/B39*100</f>
        <v>100.59381478995459</v>
      </c>
    </row>
    <row r="40" spans="1:12" ht="12.75">
      <c r="A40" s="9" t="s">
        <v>23</v>
      </c>
      <c r="B40" s="10"/>
      <c r="C40" s="10"/>
      <c r="D40" s="10"/>
      <c r="E40" s="10"/>
      <c r="F40" s="10"/>
      <c r="G40" s="175"/>
      <c r="H40" s="10"/>
      <c r="I40" s="87"/>
      <c r="J40" s="31"/>
      <c r="K40" s="31"/>
      <c r="L40" s="48"/>
    </row>
    <row r="41" spans="1:12" ht="12.75">
      <c r="A41" s="15" t="s">
        <v>28</v>
      </c>
      <c r="B41" s="20">
        <f aca="true" t="shared" si="6" ref="B41:G41">B42+B43</f>
        <v>601949</v>
      </c>
      <c r="C41" s="16">
        <f t="shared" si="6"/>
        <v>625107</v>
      </c>
      <c r="D41" s="16">
        <f t="shared" si="6"/>
        <v>631756</v>
      </c>
      <c r="E41" s="16">
        <f t="shared" si="6"/>
        <v>0</v>
      </c>
      <c r="F41" s="16">
        <f t="shared" si="6"/>
        <v>0</v>
      </c>
      <c r="G41" s="180">
        <f t="shared" si="6"/>
        <v>0</v>
      </c>
      <c r="H41" s="16">
        <f t="shared" si="4"/>
        <v>631756</v>
      </c>
      <c r="I41" s="16">
        <f>I42+I43</f>
        <v>606425</v>
      </c>
      <c r="J41" s="34">
        <f t="shared" si="5"/>
        <v>95.99038236281096</v>
      </c>
      <c r="K41" s="34">
        <f>I41/H41*100</f>
        <v>95.99038236281096</v>
      </c>
      <c r="L41" s="48">
        <f aca="true" t="shared" si="7" ref="L41:L61">I41/B41*100</f>
        <v>100.74358458939213</v>
      </c>
    </row>
    <row r="42" spans="1:12" ht="12.75">
      <c r="A42" s="9" t="s">
        <v>29</v>
      </c>
      <c r="B42" s="10">
        <v>596415</v>
      </c>
      <c r="C42" s="10">
        <v>607922</v>
      </c>
      <c r="D42" s="212">
        <v>614571</v>
      </c>
      <c r="E42" s="10"/>
      <c r="F42" s="10"/>
      <c r="G42" s="175"/>
      <c r="H42" s="10">
        <f t="shared" si="4"/>
        <v>614571</v>
      </c>
      <c r="I42" s="212">
        <v>602137</v>
      </c>
      <c r="J42" s="31">
        <f t="shared" si="5"/>
        <v>97.97680007680154</v>
      </c>
      <c r="K42" s="31">
        <f>I42/H42*100</f>
        <v>97.97680007680154</v>
      </c>
      <c r="L42" s="48">
        <f t="shared" si="7"/>
        <v>100.95939907614664</v>
      </c>
    </row>
    <row r="43" spans="1:12" ht="12.75">
      <c r="A43" s="43" t="s">
        <v>30</v>
      </c>
      <c r="B43" s="10">
        <v>5534</v>
      </c>
      <c r="C43" s="10">
        <v>17185</v>
      </c>
      <c r="D43" s="212">
        <v>17185</v>
      </c>
      <c r="E43" s="10"/>
      <c r="F43" s="10"/>
      <c r="G43" s="10"/>
      <c r="H43" s="10">
        <f t="shared" si="4"/>
        <v>17185</v>
      </c>
      <c r="I43" s="212">
        <v>4288</v>
      </c>
      <c r="J43" s="31">
        <f t="shared" si="5"/>
        <v>24.95199301716613</v>
      </c>
      <c r="K43" s="31">
        <f>I43/H43*100</f>
        <v>24.95199301716613</v>
      </c>
      <c r="L43" s="48">
        <f t="shared" si="7"/>
        <v>77.48464040477052</v>
      </c>
    </row>
    <row r="44" spans="1:15" ht="12.75">
      <c r="A44" s="19" t="s">
        <v>31</v>
      </c>
      <c r="B44" s="20">
        <v>203987</v>
      </c>
      <c r="C44" s="20">
        <v>212536</v>
      </c>
      <c r="D44" s="215">
        <v>214797</v>
      </c>
      <c r="E44" s="20"/>
      <c r="F44" s="20"/>
      <c r="G44" s="20"/>
      <c r="H44" s="20">
        <f t="shared" si="4"/>
        <v>214797</v>
      </c>
      <c r="I44" s="215">
        <v>205650</v>
      </c>
      <c r="J44" s="35">
        <f t="shared" si="5"/>
        <v>95.74156063632174</v>
      </c>
      <c r="K44" s="35">
        <f>I44/H44*100</f>
        <v>95.74156063632174</v>
      </c>
      <c r="L44" s="48">
        <f t="shared" si="7"/>
        <v>100.81524803051174</v>
      </c>
      <c r="O44" s="1" t="s">
        <v>52</v>
      </c>
    </row>
    <row r="45" spans="1:12" ht="12.75">
      <c r="A45" s="19" t="s">
        <v>32</v>
      </c>
      <c r="B45" s="20">
        <v>6079</v>
      </c>
      <c r="C45" s="20">
        <v>6079</v>
      </c>
      <c r="D45" s="215">
        <v>6145</v>
      </c>
      <c r="E45" s="20"/>
      <c r="F45" s="20"/>
      <c r="G45" s="180"/>
      <c r="H45" s="20">
        <f t="shared" si="4"/>
        <v>6145</v>
      </c>
      <c r="I45" s="215">
        <v>6145</v>
      </c>
      <c r="J45" s="35">
        <f t="shared" si="5"/>
        <v>100</v>
      </c>
      <c r="K45" s="35">
        <f>I45/H45*100</f>
        <v>100</v>
      </c>
      <c r="L45" s="48">
        <f t="shared" si="7"/>
        <v>101.08570488567199</v>
      </c>
    </row>
    <row r="46" spans="1:12" ht="12.75">
      <c r="A46" s="19" t="s">
        <v>49</v>
      </c>
      <c r="B46" s="20">
        <v>0</v>
      </c>
      <c r="C46" s="16"/>
      <c r="D46" s="20"/>
      <c r="E46" s="20"/>
      <c r="F46" s="20"/>
      <c r="G46" s="180"/>
      <c r="H46" s="20">
        <f t="shared" si="4"/>
        <v>0</v>
      </c>
      <c r="I46" s="20">
        <v>0</v>
      </c>
      <c r="J46" s="35"/>
      <c r="K46" s="35"/>
      <c r="L46" s="48"/>
    </row>
    <row r="47" spans="1:12" ht="12.75">
      <c r="A47" s="19" t="s">
        <v>34</v>
      </c>
      <c r="B47" s="20">
        <f aca="true" t="shared" si="8" ref="B47:G47">B49+B50+B51+B53+B57</f>
        <v>597347</v>
      </c>
      <c r="C47" s="16">
        <f t="shared" si="8"/>
        <v>606112</v>
      </c>
      <c r="D47" s="16">
        <f t="shared" si="8"/>
        <v>629275</v>
      </c>
      <c r="E47" s="16">
        <f t="shared" si="8"/>
        <v>41787</v>
      </c>
      <c r="F47" s="16">
        <f t="shared" si="8"/>
        <v>0</v>
      </c>
      <c r="G47" s="180">
        <f t="shared" si="8"/>
        <v>0</v>
      </c>
      <c r="H47" s="16">
        <f t="shared" si="4"/>
        <v>671062</v>
      </c>
      <c r="I47" s="16">
        <f>I49+I50+I51+I53+I57</f>
        <v>599511</v>
      </c>
      <c r="J47" s="34">
        <f t="shared" si="5"/>
        <v>95.27011243097215</v>
      </c>
      <c r="K47" s="34">
        <f>I47/H47*100</f>
        <v>89.33764689402767</v>
      </c>
      <c r="L47" s="48">
        <f t="shared" si="7"/>
        <v>100.36226849720514</v>
      </c>
    </row>
    <row r="48" spans="1:12" ht="12.75">
      <c r="A48" s="9" t="s">
        <v>35</v>
      </c>
      <c r="B48" s="10"/>
      <c r="C48" s="10"/>
      <c r="D48" s="10"/>
      <c r="E48" s="10"/>
      <c r="F48" s="10"/>
      <c r="G48" s="175"/>
      <c r="H48" s="10"/>
      <c r="I48" s="10"/>
      <c r="J48" s="31"/>
      <c r="K48" s="31"/>
      <c r="L48" s="48"/>
    </row>
    <row r="49" spans="1:12" ht="12.75">
      <c r="A49" s="9" t="s">
        <v>36</v>
      </c>
      <c r="B49" s="65">
        <v>22422</v>
      </c>
      <c r="C49" s="65">
        <v>18038</v>
      </c>
      <c r="D49" s="216">
        <v>25967</v>
      </c>
      <c r="E49" s="216">
        <v>2181</v>
      </c>
      <c r="F49" s="65"/>
      <c r="G49" s="175"/>
      <c r="H49" s="65">
        <f t="shared" si="4"/>
        <v>28148</v>
      </c>
      <c r="I49" s="216">
        <v>22637</v>
      </c>
      <c r="J49" s="57">
        <f t="shared" si="5"/>
        <v>87.17603111641698</v>
      </c>
      <c r="K49" s="31">
        <f aca="true" t="shared" si="9" ref="K49:K61">I49/H49*100</f>
        <v>80.42134432286485</v>
      </c>
      <c r="L49" s="48">
        <f t="shared" si="7"/>
        <v>100.95887967175096</v>
      </c>
    </row>
    <row r="50" spans="1:12" ht="12.75">
      <c r="A50" s="9" t="s">
        <v>37</v>
      </c>
      <c r="B50" s="10">
        <v>50063</v>
      </c>
      <c r="C50" s="10">
        <v>55384</v>
      </c>
      <c r="D50" s="212">
        <v>50132</v>
      </c>
      <c r="E50" s="212"/>
      <c r="F50" s="10"/>
      <c r="G50" s="175"/>
      <c r="H50" s="10">
        <f t="shared" si="4"/>
        <v>50132</v>
      </c>
      <c r="I50" s="212">
        <v>49167</v>
      </c>
      <c r="J50" s="31">
        <f t="shared" si="5"/>
        <v>98.07508178409</v>
      </c>
      <c r="K50" s="31">
        <f t="shared" si="9"/>
        <v>98.07508178409</v>
      </c>
      <c r="L50" s="48">
        <f t="shared" si="7"/>
        <v>98.21025507860097</v>
      </c>
    </row>
    <row r="51" spans="1:12" ht="12.75">
      <c r="A51" s="9" t="s">
        <v>38</v>
      </c>
      <c r="B51" s="10">
        <v>443291</v>
      </c>
      <c r="C51" s="10">
        <v>474849</v>
      </c>
      <c r="D51" s="212">
        <v>489250</v>
      </c>
      <c r="E51" s="212">
        <v>28171</v>
      </c>
      <c r="F51" s="10"/>
      <c r="G51" s="10"/>
      <c r="H51" s="10">
        <f t="shared" si="4"/>
        <v>517421</v>
      </c>
      <c r="I51" s="212">
        <v>459267</v>
      </c>
      <c r="J51" s="31">
        <f t="shared" si="5"/>
        <v>93.87164026571283</v>
      </c>
      <c r="K51" s="31">
        <f t="shared" si="9"/>
        <v>88.76079633412637</v>
      </c>
      <c r="L51" s="48">
        <f t="shared" si="7"/>
        <v>103.60395315943703</v>
      </c>
    </row>
    <row r="52" spans="1:12" ht="12.75">
      <c r="A52" s="9" t="s">
        <v>39</v>
      </c>
      <c r="B52" s="55">
        <v>5875</v>
      </c>
      <c r="C52" s="10">
        <v>4700</v>
      </c>
      <c r="D52" s="202">
        <v>5703</v>
      </c>
      <c r="E52" s="202"/>
      <c r="F52" s="55"/>
      <c r="G52" s="55"/>
      <c r="H52" s="10">
        <f t="shared" si="4"/>
        <v>5703</v>
      </c>
      <c r="I52" s="202">
        <v>5491</v>
      </c>
      <c r="J52" s="31">
        <f t="shared" si="5"/>
        <v>96.28265825004384</v>
      </c>
      <c r="K52" s="31">
        <f t="shared" si="9"/>
        <v>96.28265825004384</v>
      </c>
      <c r="L52" s="48">
        <f t="shared" si="7"/>
        <v>93.46382978723405</v>
      </c>
    </row>
    <row r="53" spans="1:12" ht="12.75">
      <c r="A53" s="9" t="s">
        <v>40</v>
      </c>
      <c r="B53" s="10">
        <v>37317</v>
      </c>
      <c r="C53" s="10">
        <v>27787</v>
      </c>
      <c r="D53" s="212">
        <v>27818</v>
      </c>
      <c r="E53" s="212">
        <v>11432</v>
      </c>
      <c r="F53" s="10"/>
      <c r="G53" s="10"/>
      <c r="H53" s="10">
        <f t="shared" si="4"/>
        <v>39250</v>
      </c>
      <c r="I53" s="212">
        <v>33794</v>
      </c>
      <c r="J53" s="31">
        <f t="shared" si="5"/>
        <v>121.48249334962972</v>
      </c>
      <c r="K53" s="31">
        <f t="shared" si="9"/>
        <v>86.09936305732484</v>
      </c>
      <c r="L53" s="48">
        <f t="shared" si="7"/>
        <v>90.5592625345017</v>
      </c>
    </row>
    <row r="54" spans="1:12" ht="12.75">
      <c r="A54" s="9" t="s">
        <v>41</v>
      </c>
      <c r="B54" s="10">
        <v>33990</v>
      </c>
      <c r="C54" s="10">
        <v>23580</v>
      </c>
      <c r="D54" s="212">
        <v>23094</v>
      </c>
      <c r="E54" s="212">
        <v>8830</v>
      </c>
      <c r="F54" s="10"/>
      <c r="G54" s="10"/>
      <c r="H54" s="10">
        <f t="shared" si="4"/>
        <v>31924</v>
      </c>
      <c r="I54" s="212">
        <v>26938</v>
      </c>
      <c r="J54" s="31">
        <f t="shared" si="5"/>
        <v>116.64501602147743</v>
      </c>
      <c r="K54" s="31">
        <f t="shared" si="9"/>
        <v>84.38165643403083</v>
      </c>
      <c r="L54" s="48">
        <f t="shared" si="7"/>
        <v>79.25272138864372</v>
      </c>
    </row>
    <row r="55" spans="1:12" ht="12.75">
      <c r="A55" s="9" t="s">
        <v>42</v>
      </c>
      <c r="B55" s="10">
        <v>79</v>
      </c>
      <c r="C55" s="10">
        <v>80</v>
      </c>
      <c r="D55" s="212">
        <v>1280</v>
      </c>
      <c r="E55" s="212">
        <v>1</v>
      </c>
      <c r="F55" s="10"/>
      <c r="G55" s="10"/>
      <c r="H55" s="10">
        <f t="shared" si="4"/>
        <v>1281</v>
      </c>
      <c r="I55" s="212">
        <v>1194</v>
      </c>
      <c r="J55" s="31">
        <f t="shared" si="5"/>
        <v>93.28125</v>
      </c>
      <c r="K55" s="31">
        <f t="shared" si="9"/>
        <v>93.20843091334895</v>
      </c>
      <c r="L55" s="48"/>
    </row>
    <row r="56" spans="1:12" ht="12.75">
      <c r="A56" s="9" t="s">
        <v>43</v>
      </c>
      <c r="B56" s="10">
        <v>1882</v>
      </c>
      <c r="C56" s="10">
        <v>3022</v>
      </c>
      <c r="D56" s="212">
        <v>2306</v>
      </c>
      <c r="E56" s="212"/>
      <c r="F56" s="10"/>
      <c r="G56" s="10"/>
      <c r="H56" s="10">
        <f t="shared" si="4"/>
        <v>2306</v>
      </c>
      <c r="I56" s="212">
        <v>1963</v>
      </c>
      <c r="J56" s="31">
        <f t="shared" si="5"/>
        <v>85.12575888985255</v>
      </c>
      <c r="K56" s="31">
        <f t="shared" si="9"/>
        <v>85.12575888985255</v>
      </c>
      <c r="L56" s="48">
        <f t="shared" si="7"/>
        <v>104.30393198724761</v>
      </c>
    </row>
    <row r="57" spans="1:12" ht="13.5" thickBot="1">
      <c r="A57" s="41" t="s">
        <v>44</v>
      </c>
      <c r="B57" s="42">
        <v>44254</v>
      </c>
      <c r="C57" s="42">
        <v>30054</v>
      </c>
      <c r="D57" s="217">
        <v>36108</v>
      </c>
      <c r="E57" s="217">
        <v>3</v>
      </c>
      <c r="F57" s="42"/>
      <c r="G57" s="42"/>
      <c r="H57" s="42">
        <f t="shared" si="4"/>
        <v>36111</v>
      </c>
      <c r="I57" s="217">
        <v>34646</v>
      </c>
      <c r="J57" s="62">
        <f t="shared" si="5"/>
        <v>95.95103578154426</v>
      </c>
      <c r="K57" s="62">
        <f t="shared" si="9"/>
        <v>95.94306444019828</v>
      </c>
      <c r="L57" s="50">
        <f t="shared" si="7"/>
        <v>78.28896822886067</v>
      </c>
    </row>
    <row r="58" spans="1:12" ht="12.75">
      <c r="A58" s="9" t="s">
        <v>45</v>
      </c>
      <c r="B58" s="10">
        <v>1743</v>
      </c>
      <c r="C58" s="10">
        <v>1854</v>
      </c>
      <c r="D58" s="212">
        <v>1854</v>
      </c>
      <c r="E58" s="10"/>
      <c r="F58" s="10"/>
      <c r="G58" s="10"/>
      <c r="H58" s="10">
        <f>D58+E58+F58</f>
        <v>1854</v>
      </c>
      <c r="I58" s="10">
        <v>1746</v>
      </c>
      <c r="J58" s="31">
        <f t="shared" si="5"/>
        <v>94.1747572815534</v>
      </c>
      <c r="K58" s="31">
        <f t="shared" si="9"/>
        <v>94.1747572815534</v>
      </c>
      <c r="L58" s="48">
        <f t="shared" si="7"/>
        <v>100.17211703958692</v>
      </c>
    </row>
    <row r="59" spans="1:12" ht="12.75" hidden="1">
      <c r="A59" s="9" t="s">
        <v>85</v>
      </c>
      <c r="B59" s="202">
        <v>446636</v>
      </c>
      <c r="C59" s="10">
        <v>607922</v>
      </c>
      <c r="D59" s="55"/>
      <c r="E59" s="10"/>
      <c r="F59" s="10"/>
      <c r="G59" s="10"/>
      <c r="H59" s="10">
        <f>D59+E59+F59</f>
        <v>0</v>
      </c>
      <c r="I59" s="10"/>
      <c r="J59" s="31" t="e">
        <f t="shared" si="5"/>
        <v>#DIV/0!</v>
      </c>
      <c r="K59" s="31" t="e">
        <f t="shared" si="9"/>
        <v>#DIV/0!</v>
      </c>
      <c r="L59" s="48">
        <f t="shared" si="7"/>
        <v>0</v>
      </c>
    </row>
    <row r="60" spans="1:12" ht="12.75">
      <c r="A60" s="9" t="s">
        <v>46</v>
      </c>
      <c r="B60" s="10">
        <f>B42/B58/12*1000</f>
        <v>28514.77337923121</v>
      </c>
      <c r="C60" s="10">
        <f>C42/C58/12*1000</f>
        <v>27324.793239841783</v>
      </c>
      <c r="D60" s="10">
        <f>D42/D58/12*1000</f>
        <v>27623.651564185548</v>
      </c>
      <c r="E60" s="10"/>
      <c r="F60" s="10"/>
      <c r="G60" s="10"/>
      <c r="H60" s="10">
        <f>H42/H58/12*1000</f>
        <v>27623.651564185548</v>
      </c>
      <c r="I60" s="10">
        <f>I42/I58/12*1000</f>
        <v>28738.87934326079</v>
      </c>
      <c r="J60" s="31">
        <f t="shared" si="5"/>
        <v>104.03722070010886</v>
      </c>
      <c r="K60" s="31">
        <f t="shared" si="9"/>
        <v>104.03722070010886</v>
      </c>
      <c r="L60" s="48">
        <f t="shared" si="7"/>
        <v>100.78592931828385</v>
      </c>
    </row>
    <row r="61" spans="1:13" ht="13.5" thickBot="1">
      <c r="A61" s="5" t="s">
        <v>47</v>
      </c>
      <c r="B61" s="11">
        <f>B47/B58*1000</f>
        <v>342711.9908204246</v>
      </c>
      <c r="C61" s="11">
        <f>C47/C58*1000</f>
        <v>326921.2513484358</v>
      </c>
      <c r="D61" s="11">
        <f>D47/D58*1000</f>
        <v>339414.7788565264</v>
      </c>
      <c r="E61" s="11"/>
      <c r="F61" s="11"/>
      <c r="G61" s="11"/>
      <c r="H61" s="11">
        <f>H47/H58*1000</f>
        <v>361953.6138079827</v>
      </c>
      <c r="I61" s="11">
        <f>ROUND(I47/I58*1000,0)</f>
        <v>343363</v>
      </c>
      <c r="J61" s="60">
        <f t="shared" si="5"/>
        <v>101.16324373286719</v>
      </c>
      <c r="K61" s="60">
        <f t="shared" si="9"/>
        <v>94.8638131797062</v>
      </c>
      <c r="L61" s="58">
        <f t="shared" si="7"/>
        <v>100.1899580980569</v>
      </c>
      <c r="M61" s="21"/>
    </row>
    <row r="62" spans="9:10" ht="12.75">
      <c r="I62" s="71"/>
      <c r="J62" s="71"/>
    </row>
    <row r="63" ht="12.75">
      <c r="A63" s="1" t="s">
        <v>61</v>
      </c>
    </row>
    <row r="64" spans="1:2" ht="12.75">
      <c r="A64" s="82" t="s">
        <v>71</v>
      </c>
      <c r="B64" s="71"/>
    </row>
    <row r="65" ht="12.75">
      <c r="A65" s="82" t="s">
        <v>66</v>
      </c>
    </row>
    <row r="66" ht="12.75">
      <c r="A66" s="82" t="s">
        <v>72</v>
      </c>
    </row>
    <row r="67" ht="12.75">
      <c r="A67" s="1" t="s">
        <v>68</v>
      </c>
    </row>
    <row r="68" ht="12.75">
      <c r="A68" s="1" t="s">
        <v>70</v>
      </c>
    </row>
    <row r="69" spans="1:11" ht="12.75">
      <c r="A69" s="235" t="s">
        <v>67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</row>
  </sheetData>
  <sheetProtection/>
  <mergeCells count="1">
    <mergeCell ref="A69:K69"/>
  </mergeCells>
  <printOptions/>
  <pageMargins left="0.984251968503937" right="0" top="0.984251968503937" bottom="0" header="0.5118110236220472" footer="0.5118110236220472"/>
  <pageSetup horizontalDpi="600" verticalDpi="600" orientation="portrait" paperSize="9" scale="70" r:id="rId1"/>
  <headerFooter alignWithMargins="0">
    <oddHeader>&amp;R&amp;"Arial CE,Tučné"&amp;12&amp;UPříloha č. 3 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pane xSplit="1" ySplit="7" topLeftCell="B8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M71" sqref="M71"/>
    </sheetView>
  </sheetViews>
  <sheetFormatPr defaultColWidth="9.125" defaultRowHeight="12.75"/>
  <cols>
    <col min="1" max="1" width="33.125" style="1" customWidth="1"/>
    <col min="2" max="2" width="9.25390625" style="38" customWidth="1"/>
    <col min="3" max="3" width="8.25390625" style="1" customWidth="1"/>
    <col min="4" max="5" width="8.375" style="1" customWidth="1"/>
    <col min="6" max="6" width="8.00390625" style="1" customWidth="1"/>
    <col min="7" max="7" width="11.125" style="1" hidden="1" customWidth="1"/>
    <col min="8" max="8" width="8.625" style="1" customWidth="1"/>
    <col min="9" max="9" width="10.00390625" style="1" customWidth="1"/>
    <col min="10" max="10" width="8.25390625" style="1" customWidth="1"/>
    <col min="11" max="11" width="7.875" style="1" customWidth="1"/>
    <col min="12" max="12" width="8.375" style="1" customWidth="1"/>
    <col min="13" max="16384" width="9.125" style="1" customWidth="1"/>
  </cols>
  <sheetData>
    <row r="1" spans="1:2" ht="12.75">
      <c r="A1" s="97" t="s">
        <v>75</v>
      </c>
      <c r="B1" s="37"/>
    </row>
    <row r="2" ht="12.75">
      <c r="A2" s="1" t="s">
        <v>86</v>
      </c>
    </row>
    <row r="3" spans="9:12" ht="13.5" thickBot="1">
      <c r="I3" s="2"/>
      <c r="J3" s="2"/>
      <c r="L3" s="22"/>
    </row>
    <row r="4" spans="1:12" ht="12.75">
      <c r="A4" s="3"/>
      <c r="B4" s="40">
        <v>2012</v>
      </c>
      <c r="C4" s="25"/>
      <c r="D4" s="25">
        <v>2013</v>
      </c>
      <c r="E4" s="25"/>
      <c r="F4" s="25"/>
      <c r="G4" s="25"/>
      <c r="H4" s="25"/>
      <c r="I4" s="25"/>
      <c r="J4" s="25"/>
      <c r="K4" s="26"/>
      <c r="L4" s="17" t="s">
        <v>84</v>
      </c>
    </row>
    <row r="5" spans="1:12" ht="12.75">
      <c r="A5" s="4" t="s">
        <v>0</v>
      </c>
      <c r="B5" s="39" t="s">
        <v>1</v>
      </c>
      <c r="C5" s="27" t="s">
        <v>89</v>
      </c>
      <c r="D5" s="28"/>
      <c r="E5" s="80"/>
      <c r="F5" s="80"/>
      <c r="G5" s="80"/>
      <c r="H5" s="80"/>
      <c r="I5" s="23" t="s">
        <v>1</v>
      </c>
      <c r="J5" s="23" t="s">
        <v>2</v>
      </c>
      <c r="K5" s="23" t="s">
        <v>2</v>
      </c>
      <c r="L5" s="17" t="s">
        <v>3</v>
      </c>
    </row>
    <row r="6" spans="1:12" ht="13.5" thickBot="1">
      <c r="A6" s="5"/>
      <c r="B6" s="115" t="s">
        <v>87</v>
      </c>
      <c r="C6" s="24" t="s">
        <v>4</v>
      </c>
      <c r="D6" s="24" t="s">
        <v>62</v>
      </c>
      <c r="E6" s="81" t="s">
        <v>59</v>
      </c>
      <c r="F6" s="81" t="s">
        <v>60</v>
      </c>
      <c r="G6" s="172" t="s">
        <v>80</v>
      </c>
      <c r="H6" s="81" t="s">
        <v>64</v>
      </c>
      <c r="I6" s="195" t="s">
        <v>87</v>
      </c>
      <c r="J6" s="24" t="s">
        <v>78</v>
      </c>
      <c r="K6" s="24" t="s">
        <v>65</v>
      </c>
      <c r="L6" s="56" t="s">
        <v>5</v>
      </c>
    </row>
    <row r="7" spans="1:12" ht="13.5" thickBot="1">
      <c r="A7" s="5" t="s">
        <v>6</v>
      </c>
      <c r="B7" s="29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8" t="s">
        <v>81</v>
      </c>
      <c r="K7" s="29" t="s">
        <v>82</v>
      </c>
      <c r="L7" s="18" t="s">
        <v>83</v>
      </c>
    </row>
    <row r="8" spans="1:12" ht="12.75">
      <c r="A8" s="13" t="s">
        <v>7</v>
      </c>
      <c r="B8" s="59">
        <f>SUM(B10:B29)</f>
        <v>47.894</v>
      </c>
      <c r="C8" s="8">
        <f>SUM(C10:C29)</f>
        <v>0</v>
      </c>
      <c r="D8" s="44">
        <f>SUM(D10:D29)</f>
        <v>0</v>
      </c>
      <c r="E8" s="85" t="s">
        <v>63</v>
      </c>
      <c r="F8" s="44">
        <f>SUM(F10:F29)</f>
        <v>0</v>
      </c>
      <c r="G8" s="85" t="s">
        <v>63</v>
      </c>
      <c r="H8" s="44">
        <f>D8+F8</f>
        <v>0</v>
      </c>
      <c r="I8" s="44">
        <f>I10+I13+I14+I15+I16+I17+I18+I19+I20+I21+I22+I23+I24+I26+I27+I28+I29</f>
        <v>377</v>
      </c>
      <c r="J8" s="44"/>
      <c r="K8" s="30"/>
      <c r="L8" s="63"/>
    </row>
    <row r="9" spans="1:14" ht="12.75">
      <c r="A9" s="9" t="s">
        <v>8</v>
      </c>
      <c r="B9" s="10"/>
      <c r="C9" s="10"/>
      <c r="D9" s="10"/>
      <c r="E9" s="84"/>
      <c r="F9" s="10"/>
      <c r="G9" s="84"/>
      <c r="H9" s="10"/>
      <c r="I9" s="10"/>
      <c r="J9" s="10"/>
      <c r="K9" s="31"/>
      <c r="L9" s="45"/>
      <c r="N9" s="38"/>
    </row>
    <row r="10" spans="1:12" ht="12.75">
      <c r="A10" s="67" t="s">
        <v>57</v>
      </c>
      <c r="B10" s="55"/>
      <c r="C10" s="10"/>
      <c r="D10" s="10"/>
      <c r="E10" s="84" t="s">
        <v>63</v>
      </c>
      <c r="F10" s="10"/>
      <c r="G10" s="84" t="s">
        <v>63</v>
      </c>
      <c r="H10" s="10">
        <f aca="true" t="shared" si="0" ref="H10:H29">D10+F10</f>
        <v>0</v>
      </c>
      <c r="I10" s="10"/>
      <c r="J10" s="10"/>
      <c r="K10" s="31"/>
      <c r="L10" s="45"/>
    </row>
    <row r="11" spans="1:12" ht="12.75">
      <c r="A11" s="67" t="s">
        <v>91</v>
      </c>
      <c r="B11" s="55"/>
      <c r="C11" s="10"/>
      <c r="D11" s="10"/>
      <c r="E11" s="84" t="s">
        <v>63</v>
      </c>
      <c r="F11" s="10"/>
      <c r="G11" s="84" t="s">
        <v>63</v>
      </c>
      <c r="H11" s="10"/>
      <c r="I11" s="10"/>
      <c r="J11" s="10"/>
      <c r="K11" s="31"/>
      <c r="L11" s="45"/>
    </row>
    <row r="12" spans="1:12" ht="12.75">
      <c r="A12" s="67" t="s">
        <v>9</v>
      </c>
      <c r="B12" s="55"/>
      <c r="C12" s="10"/>
      <c r="D12" s="10"/>
      <c r="E12" s="84" t="s">
        <v>63</v>
      </c>
      <c r="F12" s="10"/>
      <c r="G12" s="84" t="s">
        <v>63</v>
      </c>
      <c r="H12" s="10">
        <f t="shared" si="0"/>
        <v>0</v>
      </c>
      <c r="I12" s="10"/>
      <c r="J12" s="10"/>
      <c r="K12" s="31"/>
      <c r="L12" s="45"/>
    </row>
    <row r="13" spans="1:14" ht="12.75">
      <c r="A13" s="67" t="s">
        <v>10</v>
      </c>
      <c r="B13" s="55"/>
      <c r="C13" s="10"/>
      <c r="D13" s="10"/>
      <c r="E13" s="84" t="s">
        <v>63</v>
      </c>
      <c r="F13" s="10"/>
      <c r="G13" s="84" t="s">
        <v>63</v>
      </c>
      <c r="H13" s="10">
        <f t="shared" si="0"/>
        <v>0</v>
      </c>
      <c r="I13" s="10"/>
      <c r="J13" s="10"/>
      <c r="K13" s="31"/>
      <c r="L13" s="45"/>
      <c r="N13" s="38"/>
    </row>
    <row r="14" spans="1:14" ht="12.75">
      <c r="A14" s="9" t="s">
        <v>11</v>
      </c>
      <c r="B14" s="55"/>
      <c r="C14" s="10"/>
      <c r="D14" s="10"/>
      <c r="E14" s="84" t="s">
        <v>63</v>
      </c>
      <c r="F14" s="10"/>
      <c r="G14" s="84" t="s">
        <v>63</v>
      </c>
      <c r="H14" s="10">
        <f t="shared" si="0"/>
        <v>0</v>
      </c>
      <c r="I14" s="10"/>
      <c r="J14" s="10"/>
      <c r="K14" s="31"/>
      <c r="L14" s="45"/>
      <c r="M14" s="88"/>
      <c r="N14" s="88"/>
    </row>
    <row r="15" spans="1:14" ht="12.75">
      <c r="A15" s="53" t="s">
        <v>53</v>
      </c>
      <c r="B15" s="55"/>
      <c r="C15" s="10"/>
      <c r="D15" s="10"/>
      <c r="E15" s="84" t="s">
        <v>63</v>
      </c>
      <c r="F15" s="10"/>
      <c r="G15" s="84" t="s">
        <v>63</v>
      </c>
      <c r="H15" s="10">
        <f t="shared" si="0"/>
        <v>0</v>
      </c>
      <c r="I15" s="10"/>
      <c r="J15" s="10"/>
      <c r="K15" s="31"/>
      <c r="L15" s="45"/>
      <c r="M15" s="88"/>
      <c r="N15" s="88"/>
    </row>
    <row r="16" spans="1:14" ht="12.75">
      <c r="A16" s="9" t="s">
        <v>12</v>
      </c>
      <c r="B16" s="55"/>
      <c r="C16" s="10"/>
      <c r="D16" s="10"/>
      <c r="E16" s="84" t="s">
        <v>63</v>
      </c>
      <c r="F16" s="10"/>
      <c r="G16" s="84" t="s">
        <v>63</v>
      </c>
      <c r="H16" s="10">
        <f t="shared" si="0"/>
        <v>0</v>
      </c>
      <c r="I16" s="10"/>
      <c r="J16" s="10"/>
      <c r="K16" s="31"/>
      <c r="L16" s="45"/>
      <c r="M16" s="168"/>
      <c r="N16" s="88"/>
    </row>
    <row r="17" spans="1:14" ht="12.75">
      <c r="A17" s="9" t="s">
        <v>13</v>
      </c>
      <c r="B17" s="55">
        <v>0.062</v>
      </c>
      <c r="C17" s="10"/>
      <c r="D17" s="10"/>
      <c r="E17" s="84" t="s">
        <v>63</v>
      </c>
      <c r="F17" s="10"/>
      <c r="G17" s="84" t="s">
        <v>63</v>
      </c>
      <c r="H17" s="10">
        <f t="shared" si="0"/>
        <v>0</v>
      </c>
      <c r="I17" s="10"/>
      <c r="J17" s="10"/>
      <c r="K17" s="31"/>
      <c r="L17" s="45"/>
      <c r="M17" s="88"/>
      <c r="N17" s="88"/>
    </row>
    <row r="18" spans="1:14" ht="12.75">
      <c r="A18" s="9" t="s">
        <v>14</v>
      </c>
      <c r="B18" s="55">
        <v>30</v>
      </c>
      <c r="C18" s="10"/>
      <c r="D18" s="10"/>
      <c r="E18" s="84" t="s">
        <v>63</v>
      </c>
      <c r="F18" s="10"/>
      <c r="G18" s="84" t="s">
        <v>63</v>
      </c>
      <c r="H18" s="10">
        <f t="shared" si="0"/>
        <v>0</v>
      </c>
      <c r="I18" s="10">
        <f>243+1</f>
        <v>244</v>
      </c>
      <c r="J18" s="31"/>
      <c r="K18" s="31"/>
      <c r="L18" s="48">
        <f>I18/B18*100</f>
        <v>813.3333333333333</v>
      </c>
      <c r="M18" s="88"/>
      <c r="N18" s="88"/>
    </row>
    <row r="19" spans="1:14" ht="12.75">
      <c r="A19" s="9" t="s">
        <v>15</v>
      </c>
      <c r="B19" s="55"/>
      <c r="C19" s="10"/>
      <c r="D19" s="55"/>
      <c r="E19" s="84" t="s">
        <v>63</v>
      </c>
      <c r="F19" s="10"/>
      <c r="G19" s="84" t="s">
        <v>63</v>
      </c>
      <c r="H19" s="10">
        <f t="shared" si="0"/>
        <v>0</v>
      </c>
      <c r="I19" s="10"/>
      <c r="J19" s="31"/>
      <c r="K19" s="31"/>
      <c r="L19" s="48"/>
      <c r="M19" s="88"/>
      <c r="N19" s="88"/>
    </row>
    <row r="20" spans="1:14" ht="12.75">
      <c r="A20" s="9" t="s">
        <v>16</v>
      </c>
      <c r="B20" s="55">
        <v>12</v>
      </c>
      <c r="C20" s="10"/>
      <c r="D20" s="10"/>
      <c r="E20" s="84" t="s">
        <v>63</v>
      </c>
      <c r="F20" s="10"/>
      <c r="G20" s="84" t="s">
        <v>63</v>
      </c>
      <c r="H20" s="10">
        <f t="shared" si="0"/>
        <v>0</v>
      </c>
      <c r="I20" s="10">
        <v>28</v>
      </c>
      <c r="J20" s="31"/>
      <c r="K20" s="31"/>
      <c r="L20" s="48">
        <f>I20/B20*100</f>
        <v>233.33333333333334</v>
      </c>
      <c r="M20" s="88"/>
      <c r="N20" s="88"/>
    </row>
    <row r="21" spans="1:12" ht="12.75">
      <c r="A21" s="9" t="s">
        <v>58</v>
      </c>
      <c r="B21" s="55"/>
      <c r="C21" s="10"/>
      <c r="D21" s="10"/>
      <c r="E21" s="84" t="s">
        <v>63</v>
      </c>
      <c r="F21" s="10"/>
      <c r="G21" s="84" t="s">
        <v>63</v>
      </c>
      <c r="H21" s="10">
        <f t="shared" si="0"/>
        <v>0</v>
      </c>
      <c r="I21" s="10"/>
      <c r="J21" s="31"/>
      <c r="K21" s="31"/>
      <c r="L21" s="48"/>
    </row>
    <row r="22" spans="1:12" ht="12.75">
      <c r="A22" s="54" t="s">
        <v>54</v>
      </c>
      <c r="B22" s="55"/>
      <c r="C22" s="10"/>
      <c r="D22" s="10"/>
      <c r="E22" s="84" t="s">
        <v>63</v>
      </c>
      <c r="F22" s="10"/>
      <c r="G22" s="84" t="s">
        <v>63</v>
      </c>
      <c r="H22" s="10">
        <f t="shared" si="0"/>
        <v>0</v>
      </c>
      <c r="I22" s="10"/>
      <c r="J22" s="31"/>
      <c r="K22" s="31"/>
      <c r="L22" s="48"/>
    </row>
    <row r="23" spans="1:12" ht="12.75">
      <c r="A23" s="9" t="s">
        <v>17</v>
      </c>
      <c r="B23" s="55"/>
      <c r="C23" s="10"/>
      <c r="D23" s="10"/>
      <c r="E23" s="84" t="s">
        <v>63</v>
      </c>
      <c r="F23" s="10"/>
      <c r="G23" s="84" t="s">
        <v>63</v>
      </c>
      <c r="H23" s="10">
        <f t="shared" si="0"/>
        <v>0</v>
      </c>
      <c r="I23" s="10"/>
      <c r="J23" s="31"/>
      <c r="K23" s="31"/>
      <c r="L23" s="48"/>
    </row>
    <row r="24" spans="1:12" ht="12.75">
      <c r="A24" s="54" t="s">
        <v>55</v>
      </c>
      <c r="B24" s="55"/>
      <c r="C24" s="10"/>
      <c r="D24" s="10"/>
      <c r="E24" s="84" t="s">
        <v>63</v>
      </c>
      <c r="F24" s="10"/>
      <c r="G24" s="84" t="s">
        <v>63</v>
      </c>
      <c r="H24" s="10">
        <f t="shared" si="0"/>
        <v>0</v>
      </c>
      <c r="I24" s="10"/>
      <c r="J24" s="31"/>
      <c r="K24" s="31"/>
      <c r="L24" s="48"/>
    </row>
    <row r="25" spans="1:12" ht="12.75" customHeight="1">
      <c r="A25" s="9" t="s">
        <v>18</v>
      </c>
      <c r="B25" s="55"/>
      <c r="C25" s="10"/>
      <c r="D25" s="10"/>
      <c r="E25" s="84" t="s">
        <v>63</v>
      </c>
      <c r="F25" s="10"/>
      <c r="G25" s="84" t="s">
        <v>63</v>
      </c>
      <c r="H25" s="10">
        <f t="shared" si="0"/>
        <v>0</v>
      </c>
      <c r="I25" s="10"/>
      <c r="J25" s="31"/>
      <c r="K25" s="31"/>
      <c r="L25" s="48"/>
    </row>
    <row r="26" spans="1:12" ht="12.75" customHeight="1">
      <c r="A26" s="9" t="s">
        <v>76</v>
      </c>
      <c r="B26" s="55"/>
      <c r="C26" s="10"/>
      <c r="D26" s="10"/>
      <c r="E26" s="84" t="s">
        <v>63</v>
      </c>
      <c r="F26" s="10"/>
      <c r="G26" s="84" t="s">
        <v>63</v>
      </c>
      <c r="H26" s="10">
        <f t="shared" si="0"/>
        <v>0</v>
      </c>
      <c r="I26" s="10"/>
      <c r="J26" s="31"/>
      <c r="K26" s="31"/>
      <c r="L26" s="48"/>
    </row>
    <row r="27" spans="1:12" ht="12.75" customHeight="1">
      <c r="A27" s="9" t="s">
        <v>56</v>
      </c>
      <c r="B27" s="55"/>
      <c r="C27" s="10"/>
      <c r="D27" s="10"/>
      <c r="E27" s="84" t="s">
        <v>63</v>
      </c>
      <c r="F27" s="10"/>
      <c r="G27" s="84" t="s">
        <v>63</v>
      </c>
      <c r="H27" s="10">
        <f t="shared" si="0"/>
        <v>0</v>
      </c>
      <c r="I27" s="10"/>
      <c r="J27" s="31"/>
      <c r="K27" s="31"/>
      <c r="L27" s="48"/>
    </row>
    <row r="28" spans="1:12" ht="12.75" customHeight="1">
      <c r="A28" s="67" t="s">
        <v>77</v>
      </c>
      <c r="B28" s="79"/>
      <c r="C28" s="10"/>
      <c r="D28" s="10"/>
      <c r="E28" s="84" t="s">
        <v>63</v>
      </c>
      <c r="F28" s="68"/>
      <c r="G28" s="84" t="s">
        <v>63</v>
      </c>
      <c r="H28" s="68">
        <f t="shared" si="0"/>
        <v>0</v>
      </c>
      <c r="I28" s="68"/>
      <c r="J28" s="31"/>
      <c r="K28" s="31"/>
      <c r="L28" s="48"/>
    </row>
    <row r="29" spans="1:12" ht="13.5" thickBot="1">
      <c r="A29" s="5" t="s">
        <v>19</v>
      </c>
      <c r="B29" s="76">
        <v>5.832</v>
      </c>
      <c r="C29" s="11"/>
      <c r="D29" s="11"/>
      <c r="E29" s="29" t="s">
        <v>63</v>
      </c>
      <c r="F29" s="11"/>
      <c r="G29" s="29" t="s">
        <v>63</v>
      </c>
      <c r="H29" s="11">
        <f t="shared" si="0"/>
        <v>0</v>
      </c>
      <c r="I29" s="76">
        <f>104+1</f>
        <v>105</v>
      </c>
      <c r="J29" s="46"/>
      <c r="K29" s="62"/>
      <c r="L29" s="50">
        <f>I29/B29*100</f>
        <v>1800.411522633745</v>
      </c>
    </row>
    <row r="30" spans="1:12" ht="12.75">
      <c r="A30" s="4"/>
      <c r="B30" s="12"/>
      <c r="C30" s="12"/>
      <c r="D30" s="12"/>
      <c r="E30" s="12"/>
      <c r="F30" s="12"/>
      <c r="G30" s="12"/>
      <c r="H30" s="12"/>
      <c r="I30" s="12"/>
      <c r="J30" s="12"/>
      <c r="K30" s="32"/>
      <c r="L30" s="64"/>
    </row>
    <row r="31" spans="1:12" ht="12.75">
      <c r="A31" s="61" t="s">
        <v>20</v>
      </c>
      <c r="B31" s="59">
        <f aca="true" t="shared" si="1" ref="B31:G31">B33+B39</f>
        <v>13963</v>
      </c>
      <c r="C31" s="8">
        <f t="shared" si="1"/>
        <v>15965</v>
      </c>
      <c r="D31" s="8">
        <f t="shared" si="1"/>
        <v>15965</v>
      </c>
      <c r="E31" s="8">
        <f t="shared" si="1"/>
        <v>4447</v>
      </c>
      <c r="F31" s="8">
        <f t="shared" si="1"/>
        <v>0</v>
      </c>
      <c r="G31" s="174">
        <f t="shared" si="1"/>
        <v>0</v>
      </c>
      <c r="H31" s="8">
        <f>D31+E31+F31+G31</f>
        <v>20412</v>
      </c>
      <c r="I31" s="8">
        <f>I33+I39</f>
        <v>16017.1</v>
      </c>
      <c r="J31" s="30">
        <f>I31/D31*100</f>
        <v>100.32633886626996</v>
      </c>
      <c r="K31" s="30">
        <f>I31/H31*100</f>
        <v>78.46903782088968</v>
      </c>
      <c r="L31" s="63"/>
    </row>
    <row r="32" spans="1:12" ht="12.75">
      <c r="A32" s="9" t="s">
        <v>21</v>
      </c>
      <c r="B32" s="10"/>
      <c r="C32" s="10"/>
      <c r="D32" s="10"/>
      <c r="E32" s="10"/>
      <c r="F32" s="10"/>
      <c r="G32" s="175"/>
      <c r="H32" s="10"/>
      <c r="I32" s="10"/>
      <c r="J32" s="31"/>
      <c r="K32" s="31"/>
      <c r="L32" s="45"/>
    </row>
    <row r="33" spans="1:12" ht="12.75">
      <c r="A33" s="61" t="s">
        <v>22</v>
      </c>
      <c r="B33" s="59">
        <f aca="true" t="shared" si="2" ref="B33:G33">B35+B36+B37</f>
        <v>150</v>
      </c>
      <c r="C33" s="8">
        <f t="shared" si="2"/>
        <v>1050</v>
      </c>
      <c r="D33" s="8">
        <f t="shared" si="2"/>
        <v>1050</v>
      </c>
      <c r="E33" s="8">
        <f t="shared" si="2"/>
        <v>863</v>
      </c>
      <c r="F33" s="8">
        <f t="shared" si="2"/>
        <v>0</v>
      </c>
      <c r="G33" s="174">
        <f t="shared" si="2"/>
        <v>0</v>
      </c>
      <c r="H33" s="8">
        <f aca="true" t="shared" si="3" ref="H33:H57">D33+E33+F33+G33</f>
        <v>1913</v>
      </c>
      <c r="I33" s="8">
        <f>I35+I36+I37</f>
        <v>585</v>
      </c>
      <c r="J33" s="30">
        <f>I33/D33*100</f>
        <v>55.714285714285715</v>
      </c>
      <c r="K33" s="30">
        <f>I33/H33*100</f>
        <v>30.580240460010454</v>
      </c>
      <c r="L33" s="63"/>
    </row>
    <row r="34" spans="1:12" ht="12.75">
      <c r="A34" s="9" t="s">
        <v>23</v>
      </c>
      <c r="B34" s="10"/>
      <c r="C34" s="10"/>
      <c r="D34" s="10"/>
      <c r="E34" s="10"/>
      <c r="F34" s="10"/>
      <c r="G34" s="175"/>
      <c r="H34" s="10">
        <f t="shared" si="3"/>
        <v>0</v>
      </c>
      <c r="I34" s="10"/>
      <c r="J34" s="31"/>
      <c r="K34" s="31"/>
      <c r="L34" s="45"/>
    </row>
    <row r="35" spans="1:12" ht="12.75">
      <c r="A35" s="9" t="s">
        <v>24</v>
      </c>
      <c r="B35" s="55">
        <f>63+1</f>
        <v>64</v>
      </c>
      <c r="C35" s="10">
        <v>1000</v>
      </c>
      <c r="D35" s="10">
        <v>650</v>
      </c>
      <c r="E35" s="55">
        <v>850</v>
      </c>
      <c r="F35" s="10"/>
      <c r="G35" s="175"/>
      <c r="H35" s="10">
        <f t="shared" si="3"/>
        <v>1500</v>
      </c>
      <c r="I35" s="10">
        <f>192+1</f>
        <v>193</v>
      </c>
      <c r="J35" s="31">
        <f aca="true" t="shared" si="4" ref="J35:J61">I35/D35*100</f>
        <v>29.69230769230769</v>
      </c>
      <c r="K35" s="31">
        <f>I35/H35*100</f>
        <v>12.866666666666667</v>
      </c>
      <c r="L35" s="48">
        <f>I35/B35*100</f>
        <v>301.5625</v>
      </c>
    </row>
    <row r="36" spans="1:12" ht="12.75">
      <c r="A36" s="9" t="s">
        <v>25</v>
      </c>
      <c r="B36" s="55">
        <f>87-1</f>
        <v>86</v>
      </c>
      <c r="C36" s="10">
        <v>50</v>
      </c>
      <c r="D36" s="10">
        <v>400</v>
      </c>
      <c r="E36" s="55">
        <f>13</f>
        <v>13</v>
      </c>
      <c r="F36" s="10"/>
      <c r="G36" s="175"/>
      <c r="H36" s="10">
        <f t="shared" si="3"/>
        <v>413</v>
      </c>
      <c r="I36" s="10">
        <v>392</v>
      </c>
      <c r="J36" s="31">
        <f t="shared" si="4"/>
        <v>98</v>
      </c>
      <c r="K36" s="31">
        <f>I36/H36*100</f>
        <v>94.91525423728814</v>
      </c>
      <c r="L36" s="48">
        <f>I36/B36*100</f>
        <v>455.8139534883721</v>
      </c>
    </row>
    <row r="37" spans="1:12" ht="12.75">
      <c r="A37" s="13" t="s">
        <v>26</v>
      </c>
      <c r="B37" s="14"/>
      <c r="C37" s="14"/>
      <c r="D37" s="14"/>
      <c r="E37" s="14"/>
      <c r="F37" s="14"/>
      <c r="G37" s="177"/>
      <c r="H37" s="14">
        <f t="shared" si="3"/>
        <v>0</v>
      </c>
      <c r="I37" s="14"/>
      <c r="J37" s="33"/>
      <c r="K37" s="33"/>
      <c r="L37" s="63"/>
    </row>
    <row r="38" spans="1:12" ht="12.75">
      <c r="A38" s="4"/>
      <c r="B38" s="12"/>
      <c r="C38" s="12"/>
      <c r="D38" s="12"/>
      <c r="E38" s="12"/>
      <c r="F38" s="12"/>
      <c r="G38" s="178"/>
      <c r="H38" s="12"/>
      <c r="I38" s="12"/>
      <c r="J38" s="32"/>
      <c r="K38" s="32"/>
      <c r="L38" s="64"/>
    </row>
    <row r="39" spans="1:12" ht="12.75">
      <c r="A39" s="61" t="s">
        <v>27</v>
      </c>
      <c r="B39" s="59">
        <f>B41+B44+B45+B46+B47</f>
        <v>13813</v>
      </c>
      <c r="C39" s="8">
        <f>C41+C47+C44+C45+C46</f>
        <v>14915</v>
      </c>
      <c r="D39" s="8">
        <f>D41+D47+D44+D45+D46</f>
        <v>14915</v>
      </c>
      <c r="E39" s="8">
        <f>E41+E47+E44+E45+E46</f>
        <v>3584</v>
      </c>
      <c r="F39" s="8">
        <f>F41+F47+F44+F45+F46</f>
        <v>0</v>
      </c>
      <c r="G39" s="174">
        <f>G41+G47+G44+G45+G46</f>
        <v>0</v>
      </c>
      <c r="H39" s="8">
        <f t="shared" si="3"/>
        <v>18499</v>
      </c>
      <c r="I39" s="8">
        <f>I41+I44+I45+I46+I47</f>
        <v>15432.1</v>
      </c>
      <c r="J39" s="30">
        <f t="shared" si="4"/>
        <v>103.46697955078781</v>
      </c>
      <c r="K39" s="30">
        <f>I39/H39*100</f>
        <v>83.42126601437916</v>
      </c>
      <c r="L39" s="63"/>
    </row>
    <row r="40" spans="1:12" ht="12.75">
      <c r="A40" s="9" t="s">
        <v>23</v>
      </c>
      <c r="B40" s="10"/>
      <c r="C40" s="10"/>
      <c r="D40" s="10"/>
      <c r="E40" s="10"/>
      <c r="F40" s="10"/>
      <c r="G40" s="175"/>
      <c r="H40" s="10"/>
      <c r="I40" s="10"/>
      <c r="J40" s="31"/>
      <c r="K40" s="31"/>
      <c r="L40" s="45"/>
    </row>
    <row r="41" spans="1:12" ht="12.75">
      <c r="A41" s="15" t="s">
        <v>28</v>
      </c>
      <c r="B41" s="20">
        <f aca="true" t="shared" si="5" ref="B41:G41">B42+B43</f>
        <v>8485</v>
      </c>
      <c r="C41" s="16">
        <f t="shared" si="5"/>
        <v>8794</v>
      </c>
      <c r="D41" s="16">
        <f t="shared" si="5"/>
        <v>8905</v>
      </c>
      <c r="E41" s="16">
        <f t="shared" si="5"/>
        <v>1507</v>
      </c>
      <c r="F41" s="16">
        <f t="shared" si="5"/>
        <v>0</v>
      </c>
      <c r="G41" s="180">
        <f t="shared" si="5"/>
        <v>0</v>
      </c>
      <c r="H41" s="16">
        <f t="shared" si="3"/>
        <v>10412</v>
      </c>
      <c r="I41" s="16">
        <f>I42+I43</f>
        <v>9957</v>
      </c>
      <c r="J41" s="34">
        <f t="shared" si="4"/>
        <v>111.81358787198204</v>
      </c>
      <c r="K41" s="34">
        <f>I41/H41*100</f>
        <v>95.63004225893201</v>
      </c>
      <c r="L41" s="48">
        <f aca="true" t="shared" si="6" ref="L41:L61">I41/B41*100</f>
        <v>117.34826163818504</v>
      </c>
    </row>
    <row r="42" spans="1:14" ht="12.75">
      <c r="A42" s="9" t="s">
        <v>29</v>
      </c>
      <c r="B42" s="55">
        <f>8236-1</f>
        <v>8235</v>
      </c>
      <c r="C42" s="10">
        <v>8254</v>
      </c>
      <c r="D42" s="10">
        <f>8727+1</f>
        <v>8728</v>
      </c>
      <c r="E42" s="10">
        <f>596+1</f>
        <v>597</v>
      </c>
      <c r="F42" s="10"/>
      <c r="G42" s="175"/>
      <c r="H42" s="55">
        <f t="shared" si="3"/>
        <v>9325</v>
      </c>
      <c r="I42" s="55">
        <v>9137</v>
      </c>
      <c r="J42" s="99">
        <f t="shared" si="4"/>
        <v>104.68606782768101</v>
      </c>
      <c r="K42" s="31">
        <f>I42/H42*100</f>
        <v>97.98391420911528</v>
      </c>
      <c r="L42" s="48">
        <f t="shared" si="6"/>
        <v>110.95324833029751</v>
      </c>
      <c r="N42" s="38"/>
    </row>
    <row r="43" spans="1:14" ht="12.75">
      <c r="A43" s="43" t="s">
        <v>30</v>
      </c>
      <c r="B43" s="55">
        <f>250-1+1</f>
        <v>250</v>
      </c>
      <c r="C43" s="10">
        <v>540</v>
      </c>
      <c r="D43" s="10">
        <v>177</v>
      </c>
      <c r="E43" s="55">
        <f>910</f>
        <v>910</v>
      </c>
      <c r="F43" s="10"/>
      <c r="G43" s="175"/>
      <c r="H43" s="55">
        <f t="shared" si="3"/>
        <v>1087</v>
      </c>
      <c r="I43" s="55">
        <f>819+1</f>
        <v>820</v>
      </c>
      <c r="J43" s="99">
        <f t="shared" si="4"/>
        <v>463.2768361581921</v>
      </c>
      <c r="K43" s="31">
        <f>I43/H43*100</f>
        <v>75.43698252069917</v>
      </c>
      <c r="L43" s="48">
        <f t="shared" si="6"/>
        <v>328</v>
      </c>
      <c r="N43" s="38"/>
    </row>
    <row r="44" spans="1:14" ht="12.75">
      <c r="A44" s="19" t="s">
        <v>31</v>
      </c>
      <c r="B44" s="86">
        <v>2909</v>
      </c>
      <c r="C44" s="20">
        <v>2990</v>
      </c>
      <c r="D44" s="20">
        <v>3029</v>
      </c>
      <c r="E44" s="20">
        <v>488</v>
      </c>
      <c r="F44" s="20"/>
      <c r="G44" s="180"/>
      <c r="H44" s="86">
        <f t="shared" si="3"/>
        <v>3517</v>
      </c>
      <c r="I44" s="86">
        <f>3237+1</f>
        <v>3238</v>
      </c>
      <c r="J44" s="100">
        <f t="shared" si="4"/>
        <v>106.89996698580389</v>
      </c>
      <c r="K44" s="35">
        <f>I44/H44*100</f>
        <v>92.06710264429911</v>
      </c>
      <c r="L44" s="48">
        <f t="shared" si="6"/>
        <v>111.3097284290134</v>
      </c>
      <c r="N44" s="38"/>
    </row>
    <row r="45" spans="1:14" ht="12.75">
      <c r="A45" s="19" t="s">
        <v>32</v>
      </c>
      <c r="B45" s="86">
        <f>84+1</f>
        <v>85</v>
      </c>
      <c r="C45" s="20">
        <v>83</v>
      </c>
      <c r="D45" s="20">
        <f>87+1</f>
        <v>88</v>
      </c>
      <c r="E45" s="20">
        <f>4+1-1</f>
        <v>4</v>
      </c>
      <c r="F45" s="20"/>
      <c r="G45" s="180"/>
      <c r="H45" s="86">
        <f t="shared" si="3"/>
        <v>92</v>
      </c>
      <c r="I45" s="86">
        <v>92</v>
      </c>
      <c r="J45" s="100">
        <f t="shared" si="4"/>
        <v>104.54545454545455</v>
      </c>
      <c r="K45" s="35">
        <f>I45/H45*100</f>
        <v>100</v>
      </c>
      <c r="L45" s="48">
        <f t="shared" si="6"/>
        <v>108.23529411764706</v>
      </c>
      <c r="N45" s="38"/>
    </row>
    <row r="46" spans="1:12" ht="12.75">
      <c r="A46" s="19" t="s">
        <v>49</v>
      </c>
      <c r="B46" s="20">
        <v>0</v>
      </c>
      <c r="C46" s="16">
        <v>0</v>
      </c>
      <c r="D46" s="20"/>
      <c r="E46" s="20"/>
      <c r="F46" s="20"/>
      <c r="G46" s="180"/>
      <c r="H46" s="86">
        <f t="shared" si="3"/>
        <v>0</v>
      </c>
      <c r="I46" s="86">
        <v>0</v>
      </c>
      <c r="J46" s="100"/>
      <c r="K46" s="35"/>
      <c r="L46" s="48"/>
    </row>
    <row r="47" spans="1:12" ht="12.75">
      <c r="A47" s="19" t="s">
        <v>34</v>
      </c>
      <c r="B47" s="20">
        <f aca="true" t="shared" si="7" ref="B47:G47">B49+B50+B51+B53+B57</f>
        <v>2334</v>
      </c>
      <c r="C47" s="16">
        <f t="shared" si="7"/>
        <v>3048</v>
      </c>
      <c r="D47" s="16">
        <f t="shared" si="7"/>
        <v>2893</v>
      </c>
      <c r="E47" s="16">
        <f t="shared" si="7"/>
        <v>1585</v>
      </c>
      <c r="F47" s="16">
        <f t="shared" si="7"/>
        <v>0</v>
      </c>
      <c r="G47" s="180">
        <f t="shared" si="7"/>
        <v>0</v>
      </c>
      <c r="H47" s="74">
        <f t="shared" si="3"/>
        <v>4478</v>
      </c>
      <c r="I47" s="74">
        <f>I49+I50+I51+I53+I57</f>
        <v>2145.1</v>
      </c>
      <c r="J47" s="34">
        <f t="shared" si="4"/>
        <v>74.14794331144141</v>
      </c>
      <c r="K47" s="34">
        <f>I47/H47*100</f>
        <v>47.90308173291648</v>
      </c>
      <c r="L47" s="48">
        <f t="shared" si="6"/>
        <v>91.90659811482433</v>
      </c>
    </row>
    <row r="48" spans="1:12" ht="12.75">
      <c r="A48" s="9" t="s">
        <v>35</v>
      </c>
      <c r="B48" s="10"/>
      <c r="C48" s="10"/>
      <c r="D48" s="10"/>
      <c r="E48" s="10"/>
      <c r="F48" s="10"/>
      <c r="G48" s="175"/>
      <c r="H48" s="55"/>
      <c r="I48" s="55"/>
      <c r="J48" s="31"/>
      <c r="K48" s="31"/>
      <c r="L48" s="48"/>
    </row>
    <row r="49" spans="1:14" ht="12.75">
      <c r="A49" s="9" t="s">
        <v>36</v>
      </c>
      <c r="B49" s="92">
        <f>440+1</f>
        <v>441</v>
      </c>
      <c r="C49" s="65">
        <v>130</v>
      </c>
      <c r="D49" s="65">
        <v>326</v>
      </c>
      <c r="E49" s="65">
        <v>170</v>
      </c>
      <c r="F49" s="65"/>
      <c r="G49" s="175"/>
      <c r="H49" s="92">
        <f t="shared" si="3"/>
        <v>496</v>
      </c>
      <c r="I49" s="92">
        <f>296+1</f>
        <v>297</v>
      </c>
      <c r="J49" s="57">
        <f t="shared" si="4"/>
        <v>91.1042944785276</v>
      </c>
      <c r="K49" s="31">
        <f aca="true" t="shared" si="8" ref="K49:K61">I49/H49*100</f>
        <v>59.87903225806451</v>
      </c>
      <c r="L49" s="48">
        <f t="shared" si="6"/>
        <v>67.3469387755102</v>
      </c>
      <c r="N49" s="38"/>
    </row>
    <row r="50" spans="1:14" ht="12.75">
      <c r="A50" s="9" t="s">
        <v>37</v>
      </c>
      <c r="B50" s="55">
        <v>217</v>
      </c>
      <c r="C50" s="10">
        <v>338</v>
      </c>
      <c r="D50" s="10">
        <v>338</v>
      </c>
      <c r="E50" s="10">
        <v>149</v>
      </c>
      <c r="F50" s="10"/>
      <c r="G50" s="175"/>
      <c r="H50" s="55">
        <f t="shared" si="3"/>
        <v>487</v>
      </c>
      <c r="I50" s="55">
        <v>204</v>
      </c>
      <c r="J50" s="31">
        <f t="shared" si="4"/>
        <v>60.35502958579882</v>
      </c>
      <c r="K50" s="31">
        <f t="shared" si="8"/>
        <v>41.889117043121146</v>
      </c>
      <c r="L50" s="48">
        <f t="shared" si="6"/>
        <v>94.00921658986175</v>
      </c>
      <c r="N50" s="38"/>
    </row>
    <row r="51" spans="1:14" ht="12.75">
      <c r="A51" s="9" t="s">
        <v>38</v>
      </c>
      <c r="B51" s="55">
        <v>1230</v>
      </c>
      <c r="C51" s="10">
        <v>1538</v>
      </c>
      <c r="D51" s="55">
        <v>1322</v>
      </c>
      <c r="E51" s="55">
        <v>742</v>
      </c>
      <c r="F51" s="10"/>
      <c r="G51" s="175"/>
      <c r="H51" s="55">
        <f t="shared" si="3"/>
        <v>2064</v>
      </c>
      <c r="I51" s="55">
        <f>1268+1</f>
        <v>1269</v>
      </c>
      <c r="J51" s="31">
        <f t="shared" si="4"/>
        <v>95.9909228441755</v>
      </c>
      <c r="K51" s="31">
        <f t="shared" si="8"/>
        <v>61.48255813953488</v>
      </c>
      <c r="L51" s="48">
        <f t="shared" si="6"/>
        <v>103.17073170731707</v>
      </c>
      <c r="N51" s="38"/>
    </row>
    <row r="52" spans="1:14" ht="12.75">
      <c r="A52" s="9" t="s">
        <v>39</v>
      </c>
      <c r="B52" s="55">
        <v>36</v>
      </c>
      <c r="C52" s="10">
        <v>36</v>
      </c>
      <c r="D52" s="55">
        <v>36</v>
      </c>
      <c r="E52" s="55"/>
      <c r="F52" s="10"/>
      <c r="G52" s="175"/>
      <c r="H52" s="55">
        <f t="shared" si="3"/>
        <v>36</v>
      </c>
      <c r="I52" s="55">
        <v>36</v>
      </c>
      <c r="J52" s="31">
        <f t="shared" si="4"/>
        <v>100</v>
      </c>
      <c r="K52" s="31">
        <f t="shared" si="8"/>
        <v>100</v>
      </c>
      <c r="L52" s="48">
        <f t="shared" si="6"/>
        <v>100</v>
      </c>
      <c r="N52" s="38"/>
    </row>
    <row r="53" spans="1:14" ht="12.75">
      <c r="A53" s="9" t="s">
        <v>40</v>
      </c>
      <c r="B53" s="55">
        <f>415+1</f>
        <v>416</v>
      </c>
      <c r="C53" s="10">
        <v>630</v>
      </c>
      <c r="D53" s="55">
        <v>650</v>
      </c>
      <c r="E53" s="55">
        <f>416+1</f>
        <v>417</v>
      </c>
      <c r="F53" s="10"/>
      <c r="G53" s="175"/>
      <c r="H53" s="55">
        <f t="shared" si="3"/>
        <v>1067</v>
      </c>
      <c r="I53" s="55">
        <f>359+1</f>
        <v>360</v>
      </c>
      <c r="J53" s="31">
        <f t="shared" si="4"/>
        <v>55.38461538461539</v>
      </c>
      <c r="K53" s="31">
        <f t="shared" si="8"/>
        <v>33.73945641986879</v>
      </c>
      <c r="L53" s="48">
        <f t="shared" si="6"/>
        <v>86.53846153846155</v>
      </c>
      <c r="N53" s="38"/>
    </row>
    <row r="54" spans="1:14" ht="12.75">
      <c r="A54" s="9" t="s">
        <v>41</v>
      </c>
      <c r="B54" s="55">
        <f>127-1</f>
        <v>126</v>
      </c>
      <c r="C54" s="10">
        <v>180</v>
      </c>
      <c r="D54" s="55">
        <v>180</v>
      </c>
      <c r="E54" s="55">
        <f>94+1</f>
        <v>95</v>
      </c>
      <c r="F54" s="10"/>
      <c r="G54" s="175"/>
      <c r="H54" s="55">
        <f t="shared" si="3"/>
        <v>275</v>
      </c>
      <c r="I54" s="55">
        <v>119</v>
      </c>
      <c r="J54" s="31">
        <f t="shared" si="4"/>
        <v>66.11111111111111</v>
      </c>
      <c r="K54" s="31">
        <f t="shared" si="8"/>
        <v>43.27272727272727</v>
      </c>
      <c r="L54" s="48">
        <f t="shared" si="6"/>
        <v>94.44444444444444</v>
      </c>
      <c r="N54" s="38"/>
    </row>
    <row r="55" spans="1:14" ht="12.75">
      <c r="A55" s="9" t="s">
        <v>42</v>
      </c>
      <c r="B55" s="55">
        <v>30</v>
      </c>
      <c r="C55" s="10">
        <v>0</v>
      </c>
      <c r="D55" s="10">
        <v>0</v>
      </c>
      <c r="E55" s="10">
        <v>220</v>
      </c>
      <c r="F55" s="10"/>
      <c r="G55" s="175"/>
      <c r="H55" s="55">
        <f t="shared" si="3"/>
        <v>220</v>
      </c>
      <c r="I55" s="55">
        <v>0</v>
      </c>
      <c r="J55" s="31"/>
      <c r="K55" s="31">
        <f t="shared" si="8"/>
        <v>0</v>
      </c>
      <c r="L55" s="48">
        <f t="shared" si="6"/>
        <v>0</v>
      </c>
      <c r="N55" s="38"/>
    </row>
    <row r="56" spans="1:14" ht="12.75">
      <c r="A56" s="9" t="s">
        <v>43</v>
      </c>
      <c r="B56" s="55">
        <v>77</v>
      </c>
      <c r="C56" s="10">
        <v>400</v>
      </c>
      <c r="D56" s="55">
        <v>400</v>
      </c>
      <c r="E56" s="10">
        <v>64</v>
      </c>
      <c r="F56" s="10"/>
      <c r="G56" s="175"/>
      <c r="H56" s="55">
        <f t="shared" si="3"/>
        <v>464</v>
      </c>
      <c r="I56" s="55">
        <f>185+1</f>
        <v>186</v>
      </c>
      <c r="J56" s="31">
        <f t="shared" si="4"/>
        <v>46.5</v>
      </c>
      <c r="K56" s="31">
        <f t="shared" si="8"/>
        <v>40.08620689655172</v>
      </c>
      <c r="L56" s="48">
        <f t="shared" si="6"/>
        <v>241.5584415584416</v>
      </c>
      <c r="N56" s="38"/>
    </row>
    <row r="57" spans="1:14" ht="13.5" thickBot="1">
      <c r="A57" s="41" t="s">
        <v>44</v>
      </c>
      <c r="B57" s="75">
        <f>31-1</f>
        <v>30</v>
      </c>
      <c r="C57" s="42">
        <f>20+2+300+10+80</f>
        <v>412</v>
      </c>
      <c r="D57" s="42">
        <f>20+2+145+10+80</f>
        <v>257</v>
      </c>
      <c r="E57" s="42">
        <f>107</f>
        <v>107</v>
      </c>
      <c r="F57" s="42"/>
      <c r="G57" s="182"/>
      <c r="H57" s="42">
        <f t="shared" si="3"/>
        <v>364</v>
      </c>
      <c r="I57" s="42">
        <f>1.7+13.4</f>
        <v>15.1</v>
      </c>
      <c r="J57" s="62">
        <f t="shared" si="4"/>
        <v>5.875486381322957</v>
      </c>
      <c r="K57" s="62">
        <f t="shared" si="8"/>
        <v>4.148351648351648</v>
      </c>
      <c r="L57" s="218">
        <f t="shared" si="6"/>
        <v>50.33333333333333</v>
      </c>
      <c r="N57" s="38"/>
    </row>
    <row r="58" spans="1:16" ht="12.75" thickBot="1">
      <c r="A58" s="54" t="s">
        <v>45</v>
      </c>
      <c r="B58" s="55">
        <v>13</v>
      </c>
      <c r="C58" s="55">
        <v>14</v>
      </c>
      <c r="D58" s="55">
        <v>16</v>
      </c>
      <c r="E58" s="55"/>
      <c r="F58" s="55"/>
      <c r="G58" s="55"/>
      <c r="H58" s="55">
        <f>D58+E58+F58</f>
        <v>16</v>
      </c>
      <c r="I58" s="55">
        <v>16</v>
      </c>
      <c r="J58" s="99">
        <f t="shared" si="4"/>
        <v>100</v>
      </c>
      <c r="K58" s="31">
        <f t="shared" si="8"/>
        <v>100</v>
      </c>
      <c r="L58" s="219">
        <f t="shared" si="6"/>
        <v>123.07692307692308</v>
      </c>
      <c r="N58" s="200"/>
      <c r="P58" s="38"/>
    </row>
    <row r="59" spans="1:12" ht="13.5" hidden="1" thickBot="1">
      <c r="A59" s="54" t="s">
        <v>85</v>
      </c>
      <c r="B59" s="55">
        <v>5219</v>
      </c>
      <c r="C59" s="55">
        <f>(C42/12)*3</f>
        <v>2063.5</v>
      </c>
      <c r="D59" s="55"/>
      <c r="E59" s="55"/>
      <c r="F59" s="55"/>
      <c r="G59" s="55"/>
      <c r="H59" s="55">
        <f>D59+E59+F59</f>
        <v>0</v>
      </c>
      <c r="I59" s="55"/>
      <c r="J59" s="99" t="e">
        <f t="shared" si="4"/>
        <v>#DIV/0!</v>
      </c>
      <c r="K59" s="31" t="e">
        <f t="shared" si="8"/>
        <v>#DIV/0!</v>
      </c>
      <c r="L59" s="220">
        <f t="shared" si="6"/>
        <v>0</v>
      </c>
    </row>
    <row r="60" spans="1:12" ht="12.75">
      <c r="A60" s="9" t="s">
        <v>46</v>
      </c>
      <c r="B60" s="10">
        <f>B42/B58/12*1000</f>
        <v>52788.46153846154</v>
      </c>
      <c r="C60" s="10">
        <f>C42/C58/12*1000</f>
        <v>49130.95238095238</v>
      </c>
      <c r="D60" s="55">
        <f>D42/D58/12*1000</f>
        <v>45458.333333333336</v>
      </c>
      <c r="E60" s="55"/>
      <c r="F60" s="55"/>
      <c r="G60" s="55"/>
      <c r="H60" s="55">
        <f>H42/H58/12*1000</f>
        <v>48567.708333333336</v>
      </c>
      <c r="I60" s="55">
        <f>I42/I58/12*1000</f>
        <v>47588.541666666664</v>
      </c>
      <c r="J60" s="99">
        <f t="shared" si="4"/>
        <v>104.68606782768101</v>
      </c>
      <c r="K60" s="31">
        <f t="shared" si="8"/>
        <v>97.98391420911527</v>
      </c>
      <c r="L60" s="222">
        <f t="shared" si="6"/>
        <v>90.14951426836673</v>
      </c>
    </row>
    <row r="61" spans="1:13" ht="13.5" thickBot="1">
      <c r="A61" s="5" t="s">
        <v>47</v>
      </c>
      <c r="B61" s="11">
        <f>B47/B58*1000</f>
        <v>179538.46153846156</v>
      </c>
      <c r="C61" s="11">
        <f>C47/C58*1000</f>
        <v>217714.2857142857</v>
      </c>
      <c r="D61" s="76">
        <f>D47/D58*1000</f>
        <v>180812.5</v>
      </c>
      <c r="E61" s="76"/>
      <c r="F61" s="76"/>
      <c r="G61" s="76"/>
      <c r="H61" s="76">
        <f>H47/H58*1000</f>
        <v>279875</v>
      </c>
      <c r="I61" s="76">
        <f>ROUND(I47/I58*1000,0)</f>
        <v>134069</v>
      </c>
      <c r="J61" s="138">
        <f t="shared" si="4"/>
        <v>74.14808157621846</v>
      </c>
      <c r="K61" s="60">
        <f t="shared" si="8"/>
        <v>47.90317105850826</v>
      </c>
      <c r="L61" s="221">
        <f t="shared" si="6"/>
        <v>74.6742502142245</v>
      </c>
      <c r="M61" s="21"/>
    </row>
    <row r="62" spans="9:10" ht="12.75">
      <c r="I62" s="71"/>
      <c r="J62" s="71"/>
    </row>
    <row r="63" ht="12.75">
      <c r="A63" s="1" t="s">
        <v>61</v>
      </c>
    </row>
    <row r="64" spans="1:2" ht="12.75">
      <c r="A64" s="82" t="s">
        <v>71</v>
      </c>
      <c r="B64" s="71"/>
    </row>
    <row r="65" ht="12.75">
      <c r="A65" s="82" t="s">
        <v>66</v>
      </c>
    </row>
    <row r="66" ht="12.75">
      <c r="A66" s="82" t="s">
        <v>72</v>
      </c>
    </row>
    <row r="67" ht="12.75">
      <c r="A67" s="1" t="s">
        <v>68</v>
      </c>
    </row>
    <row r="68" ht="12.75">
      <c r="A68" s="1" t="s">
        <v>70</v>
      </c>
    </row>
    <row r="69" spans="1:11" ht="12.75">
      <c r="A69" s="235" t="s">
        <v>67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</row>
  </sheetData>
  <sheetProtection/>
  <mergeCells count="1">
    <mergeCell ref="A69:K69"/>
  </mergeCells>
  <printOptions/>
  <pageMargins left="0.984251968503937" right="0" top="0.984251968503937" bottom="0" header="0.5118110236220472" footer="0.5118110236220472"/>
  <pageSetup horizontalDpi="600" verticalDpi="600" orientation="portrait" paperSize="9" scale="75" r:id="rId1"/>
  <headerFooter alignWithMargins="0">
    <oddHeader>&amp;R&amp;"Arial CE,Tučné"&amp;12&amp;UPříloha č. 3 e)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6" sqref="O26"/>
    </sheetView>
  </sheetViews>
  <sheetFormatPr defaultColWidth="9.1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1997-07-15T08:14:08Z</dcterms:created>
  <cp:category/>
  <cp:version/>
  <cp:contentType/>
  <cp:contentStatus/>
</cp:coreProperties>
</file>