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MF" sheetId="1" r:id="rId1"/>
    <sheet name="ÚFO" sheetId="2" r:id="rId2"/>
    <sheet name="GŘC" sheetId="3" r:id="rId3"/>
    <sheet name="ÚZSVM" sheetId="4" r:id="rId4"/>
    <sheet name="kapitola" sheetId="5" r:id="rId5"/>
  </sheets>
  <definedNames/>
  <calcPr fullCalcOnLoad="1"/>
</workbook>
</file>

<file path=xl/sharedStrings.xml><?xml version="1.0" encoding="utf-8"?>
<sst xmlns="http://schemas.openxmlformats.org/spreadsheetml/2006/main" count="100" uniqueCount="25">
  <si>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</si>
  <si>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</si>
  <si>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</si>
  <si>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</si>
  <si>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</si>
  <si>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</si>
  <si>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</si>
  <si>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</si>
  <si>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</si>
  <si>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</si>
  <si>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</si>
  <si>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</si>
  <si>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</si>
  <si>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</si>
  <si>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</si>
  <si>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 pro zastupování státu ve věcech majetkových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</si>
  <si>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</si>
  <si>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</si>
  <si>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</si>
  <si>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</si>
  <si>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</si>
  <si>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t>Poznámka: *) ve vztahu k výdajům  bez tvorby rezervního fondu</t>
  </si>
  <si>
    <t>Výdaje (bez tvorby RF)</t>
  </si>
  <si>
    <t>efektivnost  *)</t>
  </si>
  <si>
    <t>nákladovost *)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</si>
</sst>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1"/>
  <sheetViews>
    <sheetView tabSelected="1" workbookViewId="0" topLeftCell="A1">
      <selection activeCell="K18" sqref="K18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customWidth="1"/>
    <col min="5" max="5" width="10.00390625" style="0" customWidth="1"/>
    <col min="6" max="6" width="9.25390625" style="0" customWidth="1"/>
    <col min="7" max="7" width="9.875" style="0" customWidth="1"/>
    <col min="8" max="8" width="10.00390625" style="0" customWidth="1"/>
  </cols>
  <sheetData>
    <row r="4" spans="1:8" ht="12.75">
      <c r="A4" s="1" t="s">
        <v>14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9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0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4</v>
      </c>
      <c r="B10" s="11"/>
      <c r="C10" s="11"/>
      <c r="D10" s="12"/>
      <c r="E10" s="12"/>
      <c r="F10" s="12"/>
      <c r="G10" s="12"/>
      <c r="H10" s="12"/>
    </row>
    <row r="11" spans="1:8" ht="12.75">
      <c r="A11" s="3" t="s">
        <v>7</v>
      </c>
      <c r="B11" s="11">
        <v>65768</v>
      </c>
      <c r="C11" s="11">
        <v>25623</v>
      </c>
      <c r="D11" s="12">
        <v>210666</v>
      </c>
      <c r="E11" s="12">
        <v>96112</v>
      </c>
      <c r="F11" s="12">
        <v>338006</v>
      </c>
      <c r="G11" s="12">
        <v>573678</v>
      </c>
      <c r="H11" s="12">
        <v>716211</v>
      </c>
    </row>
    <row r="12" spans="1:8" ht="12.75">
      <c r="A12" s="4" t="s">
        <v>5</v>
      </c>
      <c r="B12" s="13">
        <f aca="true" t="shared" si="0" ref="B12:H12">SUM(B10:B11)</f>
        <v>65768</v>
      </c>
      <c r="C12" s="13">
        <f t="shared" si="0"/>
        <v>25623</v>
      </c>
      <c r="D12" s="14">
        <f t="shared" si="0"/>
        <v>210666</v>
      </c>
      <c r="E12" s="14">
        <f t="shared" si="0"/>
        <v>96112</v>
      </c>
      <c r="F12" s="14">
        <f t="shared" si="0"/>
        <v>338006</v>
      </c>
      <c r="G12" s="14">
        <f t="shared" si="0"/>
        <v>573678</v>
      </c>
      <c r="H12" s="14">
        <f t="shared" si="0"/>
        <v>716211</v>
      </c>
    </row>
    <row r="13" spans="1:8" ht="12.75">
      <c r="A13" s="4" t="s">
        <v>6</v>
      </c>
      <c r="B13" s="13">
        <v>1612428</v>
      </c>
      <c r="C13" s="13">
        <v>1365135</v>
      </c>
      <c r="D13" s="14">
        <v>2284497</v>
      </c>
      <c r="E13" s="14">
        <v>2283058</v>
      </c>
      <c r="F13" s="14">
        <v>2508569</v>
      </c>
      <c r="G13" s="14">
        <v>2735528</v>
      </c>
      <c r="H13" s="14">
        <v>2746825</v>
      </c>
    </row>
    <row r="14" spans="1:8" ht="12.75">
      <c r="A14" s="3" t="s">
        <v>2</v>
      </c>
      <c r="B14" s="11">
        <v>1037443</v>
      </c>
      <c r="C14" s="11">
        <v>1007198</v>
      </c>
      <c r="D14" s="12">
        <v>1684418</v>
      </c>
      <c r="E14" s="12">
        <v>1708909</v>
      </c>
      <c r="F14" s="12">
        <v>1837022</v>
      </c>
      <c r="G14" s="12">
        <v>2101680</v>
      </c>
      <c r="H14" s="12">
        <v>2062260</v>
      </c>
    </row>
    <row r="15" spans="1:8" ht="12.75">
      <c r="A15" s="4" t="s">
        <v>22</v>
      </c>
      <c r="B15" s="15"/>
      <c r="C15" s="15"/>
      <c r="D15" s="18">
        <f>D13-33178</f>
        <v>2251319</v>
      </c>
      <c r="E15" s="57">
        <f>E13-46228</f>
        <v>2236830</v>
      </c>
      <c r="F15" s="57">
        <f>F13-290723</f>
        <v>2217846</v>
      </c>
      <c r="G15" s="57">
        <f>G13-404353</f>
        <v>2331175</v>
      </c>
      <c r="H15" s="57">
        <f>H13-291005</f>
        <v>2455820</v>
      </c>
    </row>
    <row r="16" spans="1:8" ht="12.75">
      <c r="A16" s="3" t="s">
        <v>2</v>
      </c>
      <c r="B16" s="15"/>
      <c r="C16" s="15"/>
      <c r="D16" s="16">
        <f>D14-22500</f>
        <v>1661918</v>
      </c>
      <c r="E16" s="56">
        <f>E14-32927</f>
        <v>1675982</v>
      </c>
      <c r="F16" s="56">
        <f>F14-171223</f>
        <v>1665799</v>
      </c>
      <c r="G16" s="56">
        <f>G14-217150</f>
        <v>1884530</v>
      </c>
      <c r="H16" s="56">
        <f>H14-181005</f>
        <v>1881255</v>
      </c>
    </row>
    <row r="17" spans="1:8" ht="13.5" thickBot="1">
      <c r="A17" s="10" t="s">
        <v>3</v>
      </c>
      <c r="B17" s="17">
        <v>1175</v>
      </c>
      <c r="C17" s="17">
        <v>1143</v>
      </c>
      <c r="D17" s="18">
        <v>1400</v>
      </c>
      <c r="E17" s="48">
        <v>1442</v>
      </c>
      <c r="F17" s="48">
        <v>1449</v>
      </c>
      <c r="G17" s="48">
        <v>1411</v>
      </c>
      <c r="H17" s="48">
        <v>1286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10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23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8</v>
      </c>
      <c r="B24" s="21">
        <f>B12/B13</f>
        <v>0.04078817782871545</v>
      </c>
      <c r="C24" s="21">
        <f>C12/C13</f>
        <v>0.018769572240108123</v>
      </c>
      <c r="D24" s="22">
        <f>D12/D15</f>
        <v>0.09357447789495847</v>
      </c>
      <c r="E24" s="22">
        <f>E12/E15</f>
        <v>0.04296795017949509</v>
      </c>
      <c r="F24" s="22">
        <f>F12/F15</f>
        <v>0.15240282688698856</v>
      </c>
      <c r="G24" s="22">
        <f>G12/G15</f>
        <v>0.24608963291044217</v>
      </c>
      <c r="H24" s="22">
        <f>H12/H15</f>
        <v>0.291638230814962</v>
      </c>
    </row>
    <row r="25" spans="1:8" ht="13.5" thickBot="1">
      <c r="A25" s="5" t="s">
        <v>20</v>
      </c>
      <c r="B25" s="15">
        <f aca="true" t="shared" si="1" ref="B25:H25">B12/B17*1000</f>
        <v>55972.76595744681</v>
      </c>
      <c r="C25" s="15">
        <f t="shared" si="1"/>
        <v>22417.32283464567</v>
      </c>
      <c r="D25" s="16">
        <f t="shared" si="1"/>
        <v>150475.71428571426</v>
      </c>
      <c r="E25" s="16">
        <f t="shared" si="1"/>
        <v>66651.87239944522</v>
      </c>
      <c r="F25" s="16">
        <f t="shared" si="1"/>
        <v>233268.46100759145</v>
      </c>
      <c r="G25" s="16">
        <f t="shared" si="1"/>
        <v>406575.4783841247</v>
      </c>
      <c r="H25" s="16">
        <f t="shared" si="1"/>
        <v>556929.2379471228</v>
      </c>
    </row>
    <row r="26" spans="1:8" ht="12.75">
      <c r="A26" s="44" t="s">
        <v>24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17</v>
      </c>
      <c r="B27" s="21">
        <f>B13/B12</f>
        <v>24.51690791874468</v>
      </c>
      <c r="C27" s="21">
        <f>C13/C12</f>
        <v>53.27771923662335</v>
      </c>
      <c r="D27" s="22">
        <f>D15/D12*100</f>
        <v>1068.6674641375448</v>
      </c>
      <c r="E27" s="22">
        <f>E15/E12*100</f>
        <v>2327.3160479440653</v>
      </c>
      <c r="F27" s="22">
        <f>F15/F12*100</f>
        <v>656.1558078850671</v>
      </c>
      <c r="G27" s="22">
        <f>G15/G12*100</f>
        <v>406.3560045879396</v>
      </c>
      <c r="H27" s="22">
        <f>H15/H12*100</f>
        <v>342.8905727502091</v>
      </c>
    </row>
    <row r="28" spans="1:8" ht="12.75">
      <c r="A28" s="3" t="s">
        <v>18</v>
      </c>
      <c r="B28" s="11">
        <f>B13/B17*1000</f>
        <v>1372279.1489361702</v>
      </c>
      <c r="C28" s="11">
        <f>C13/C17*1000</f>
        <v>1194343.8320209973</v>
      </c>
      <c r="D28" s="12">
        <f>D15/D17*1000</f>
        <v>1608085</v>
      </c>
      <c r="E28" s="12">
        <f>E15/E17*1000</f>
        <v>1551199.7226074894</v>
      </c>
      <c r="F28" s="12">
        <f>F15/F17*1000</f>
        <v>1530604.5548654245</v>
      </c>
      <c r="G28" s="12">
        <f>G15/G17*1000</f>
        <v>1652143.8695960313</v>
      </c>
      <c r="H28" s="12">
        <f>H15/H17*1000</f>
        <v>1909657.8538102645</v>
      </c>
    </row>
    <row r="29" spans="1:8" ht="13.5" thickBot="1">
      <c r="A29" s="7" t="s">
        <v>19</v>
      </c>
      <c r="B29" s="31">
        <f>B14/B17*1000</f>
        <v>882930.2127659575</v>
      </c>
      <c r="C29" s="31">
        <f>C14/C17*1000</f>
        <v>881188.1014873141</v>
      </c>
      <c r="D29" s="32">
        <f>D16/D17*1000</f>
        <v>1187084.2857142857</v>
      </c>
      <c r="E29" s="32">
        <f>E16/E17*1000</f>
        <v>1162262.1359223302</v>
      </c>
      <c r="F29" s="32">
        <f>F16/F17*1000</f>
        <v>1149619.7377501726</v>
      </c>
      <c r="G29" s="32">
        <f>G16/G17*1000</f>
        <v>1335598.8660524453</v>
      </c>
      <c r="H29" s="32">
        <f>H16/H17*1000</f>
        <v>1462873.2503888025</v>
      </c>
    </row>
    <row r="30" spans="1:4" ht="12.75">
      <c r="A30" s="8"/>
      <c r="B30" s="8"/>
      <c r="C30" s="8"/>
      <c r="D30" s="8"/>
    </row>
    <row r="31" ht="12.75">
      <c r="A31" t="s">
        <v>21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  <headerFooter alignWithMargins="0">
    <oddHeader>&amp;R&amp;"Arial CE,Tučné"&amp;12&amp;UPříloha č. 6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D27" sqref="D27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375" style="0" customWidth="1"/>
    <col min="5" max="5" width="11.875" style="0" customWidth="1"/>
    <col min="6" max="6" width="12.25390625" style="0" customWidth="1"/>
    <col min="7" max="7" width="12.00390625" style="0" customWidth="1"/>
    <col min="8" max="8" width="12.25390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9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4</v>
      </c>
      <c r="B10" s="11">
        <v>166015000</v>
      </c>
      <c r="C10" s="11">
        <v>171354000</v>
      </c>
      <c r="D10" s="47">
        <v>208850701</v>
      </c>
      <c r="E10" s="47">
        <v>225635000</v>
      </c>
      <c r="F10" s="47">
        <v>323452000</v>
      </c>
      <c r="G10" s="47">
        <v>514524000</v>
      </c>
      <c r="H10" s="47">
        <v>513726000</v>
      </c>
    </row>
    <row r="11" spans="1:8" ht="12.75">
      <c r="A11" s="3" t="s">
        <v>7</v>
      </c>
      <c r="B11" s="11">
        <v>17941</v>
      </c>
      <c r="C11" s="11">
        <v>16183</v>
      </c>
      <c r="D11" s="12">
        <v>51653</v>
      </c>
      <c r="E11" s="12">
        <v>38317</v>
      </c>
      <c r="F11" s="12">
        <v>56620</v>
      </c>
      <c r="G11" s="12">
        <v>33608</v>
      </c>
      <c r="H11" s="12">
        <v>42518</v>
      </c>
    </row>
    <row r="12" spans="1:8" ht="12.75">
      <c r="A12" s="4" t="s">
        <v>5</v>
      </c>
      <c r="B12" s="13">
        <f aca="true" t="shared" si="0" ref="B12:H12">SUM(B10:B11)</f>
        <v>166032941</v>
      </c>
      <c r="C12" s="13">
        <f t="shared" si="0"/>
        <v>171370183</v>
      </c>
      <c r="D12" s="14">
        <f t="shared" si="0"/>
        <v>208902354</v>
      </c>
      <c r="E12" s="14">
        <f t="shared" si="0"/>
        <v>225673317</v>
      </c>
      <c r="F12" s="14">
        <f t="shared" si="0"/>
        <v>323508620</v>
      </c>
      <c r="G12" s="14">
        <f t="shared" si="0"/>
        <v>514557608</v>
      </c>
      <c r="H12" s="14">
        <f t="shared" si="0"/>
        <v>513768518</v>
      </c>
    </row>
    <row r="13" spans="1:8" ht="12.75">
      <c r="A13" s="4" t="s">
        <v>6</v>
      </c>
      <c r="B13" s="13">
        <v>4531326</v>
      </c>
      <c r="C13" s="13">
        <v>4581385</v>
      </c>
      <c r="D13" s="14">
        <v>5902626</v>
      </c>
      <c r="E13" s="14">
        <v>6417899</v>
      </c>
      <c r="F13" s="14">
        <v>6610832</v>
      </c>
      <c r="G13" s="14">
        <v>6926330</v>
      </c>
      <c r="H13" s="14">
        <v>7234856</v>
      </c>
    </row>
    <row r="14" spans="1:8" ht="12.75">
      <c r="A14" s="3" t="s">
        <v>2</v>
      </c>
      <c r="B14" s="11">
        <v>3840727</v>
      </c>
      <c r="C14" s="11">
        <v>3834738</v>
      </c>
      <c r="D14" s="12">
        <v>5543168</v>
      </c>
      <c r="E14" s="12">
        <v>5981917</v>
      </c>
      <c r="F14" s="12">
        <v>6285173</v>
      </c>
      <c r="G14" s="12">
        <v>6513866</v>
      </c>
      <c r="H14" s="12">
        <v>6941058</v>
      </c>
    </row>
    <row r="15" spans="1:8" ht="12.75">
      <c r="A15" s="4" t="s">
        <v>22</v>
      </c>
      <c r="B15" s="17"/>
      <c r="C15" s="17"/>
      <c r="D15" s="18">
        <f>D13-31096</f>
        <v>5871530</v>
      </c>
      <c r="E15" s="57">
        <f>E13-53473</f>
        <v>6364426</v>
      </c>
      <c r="F15" s="57">
        <f>F13-112833</f>
        <v>6497999</v>
      </c>
      <c r="G15" s="57">
        <f>G13-238349</f>
        <v>6687981</v>
      </c>
      <c r="H15" s="57">
        <f>H13-177309</f>
        <v>7057547</v>
      </c>
    </row>
    <row r="16" spans="1:8" ht="12.75">
      <c r="A16" s="3" t="s">
        <v>2</v>
      </c>
      <c r="B16" s="15"/>
      <c r="C16" s="15"/>
      <c r="D16" s="16">
        <f>D14-21158</f>
        <v>5522010</v>
      </c>
      <c r="E16" s="56">
        <f>E14-29140</f>
        <v>5952777</v>
      </c>
      <c r="F16" s="56">
        <f>F14-72492</f>
        <v>6212681</v>
      </c>
      <c r="G16" s="56">
        <f>G14-39594</f>
        <v>6474272</v>
      </c>
      <c r="H16" s="56">
        <f>H14-35183</f>
        <v>6905875</v>
      </c>
    </row>
    <row r="17" spans="1:8" ht="13.5" thickBot="1">
      <c r="A17" s="33" t="s">
        <v>3</v>
      </c>
      <c r="B17" s="34">
        <v>14105</v>
      </c>
      <c r="C17" s="34">
        <v>14121</v>
      </c>
      <c r="D17" s="35">
        <v>15649</v>
      </c>
      <c r="E17" s="48">
        <v>15668</v>
      </c>
      <c r="F17" s="48">
        <v>15600</v>
      </c>
      <c r="G17" s="48">
        <v>15474</v>
      </c>
      <c r="H17" s="48">
        <v>15619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10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23</v>
      </c>
      <c r="B23" s="19"/>
      <c r="C23" s="19"/>
      <c r="D23" s="20"/>
      <c r="E23" s="20"/>
      <c r="F23" s="20"/>
      <c r="G23" s="20"/>
      <c r="H23" s="20"/>
    </row>
    <row r="24" spans="1:8" ht="12.75">
      <c r="A24" s="3" t="s">
        <v>8</v>
      </c>
      <c r="B24" s="21">
        <f>B12/B13</f>
        <v>36.64113793622441</v>
      </c>
      <c r="C24" s="21">
        <f>C12/C13</f>
        <v>37.40575895717125</v>
      </c>
      <c r="D24" s="22">
        <f>D12/D15</f>
        <v>35.57886172769278</v>
      </c>
      <c r="E24" s="22">
        <f>E12/E15</f>
        <v>35.458549914792</v>
      </c>
      <c r="F24" s="22">
        <f>F12/F15</f>
        <v>49.785883315771514</v>
      </c>
      <c r="G24" s="22">
        <f>G12/G15</f>
        <v>76.93765996045742</v>
      </c>
      <c r="H24" s="22">
        <f>H12/H15</f>
        <v>72.79703812103554</v>
      </c>
    </row>
    <row r="25" spans="1:8" ht="13.5" thickBot="1">
      <c r="A25" s="5" t="s">
        <v>20</v>
      </c>
      <c r="B25" s="15">
        <f aca="true" t="shared" si="1" ref="B25:H25">B12/B17*1000</f>
        <v>11771211.697979439</v>
      </c>
      <c r="C25" s="15">
        <f t="shared" si="1"/>
        <v>12135839.034062743</v>
      </c>
      <c r="D25" s="16">
        <f t="shared" si="1"/>
        <v>13349246.21381558</v>
      </c>
      <c r="E25" s="16">
        <f t="shared" si="1"/>
        <v>14403453.982639777</v>
      </c>
      <c r="F25" s="16">
        <f t="shared" si="1"/>
        <v>20737732.051282052</v>
      </c>
      <c r="G25" s="16">
        <f t="shared" si="1"/>
        <v>33253044.33242859</v>
      </c>
      <c r="H25" s="16">
        <f t="shared" si="1"/>
        <v>32893816.377488956</v>
      </c>
    </row>
    <row r="26" spans="1:8" ht="12.75">
      <c r="A26" s="44" t="s">
        <v>24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17</v>
      </c>
      <c r="B27" s="21">
        <f>B13/B12</f>
        <v>0.02729172881422368</v>
      </c>
      <c r="C27" s="21">
        <f>C13/C12</f>
        <v>0.026733851360828623</v>
      </c>
      <c r="D27" s="22">
        <f>D15/D12*100</f>
        <v>2.810657653000885</v>
      </c>
      <c r="E27" s="22">
        <f>E15/E12*100</f>
        <v>2.820194289961183</v>
      </c>
      <c r="F27" s="22">
        <f>F15/F12*100</f>
        <v>2.0086015018703365</v>
      </c>
      <c r="G27" s="22">
        <f>G15/G12*100</f>
        <v>1.2997535933819095</v>
      </c>
      <c r="H27" s="22">
        <f>H15/H12*100</f>
        <v>1.3736822620960982</v>
      </c>
    </row>
    <row r="28" spans="1:8" ht="12.75">
      <c r="A28" s="3" t="s">
        <v>18</v>
      </c>
      <c r="B28" s="11">
        <f>B13/B17*1000</f>
        <v>321256.7174760723</v>
      </c>
      <c r="C28" s="11">
        <f>C13/C17*1000</f>
        <v>324437.7168755754</v>
      </c>
      <c r="D28" s="12">
        <f>D15/D17*1000</f>
        <v>375201.61032653844</v>
      </c>
      <c r="E28" s="12">
        <f>E15/E17*1000</f>
        <v>406205.38677559356</v>
      </c>
      <c r="F28" s="12">
        <f>F15/F17*1000</f>
        <v>416538.39743589744</v>
      </c>
      <c r="G28" s="12">
        <f>G15/G17*1000</f>
        <v>432207.63861962</v>
      </c>
      <c r="H28" s="12">
        <f>H15/H17*1000</f>
        <v>451856.52090402716</v>
      </c>
    </row>
    <row r="29" spans="1:8" ht="13.5" thickBot="1">
      <c r="A29" s="7" t="s">
        <v>19</v>
      </c>
      <c r="B29" s="31">
        <f>B14/B17*1000</f>
        <v>272295.4271534917</v>
      </c>
      <c r="C29" s="31">
        <f>C14/C17*1000</f>
        <v>271562.7788400255</v>
      </c>
      <c r="D29" s="32">
        <f>D16/D17*1000</f>
        <v>352866.63684580487</v>
      </c>
      <c r="E29" s="32">
        <f>E16/E17*1000</f>
        <v>379932.1547102374</v>
      </c>
      <c r="F29" s="32">
        <f>F16/F17*1000</f>
        <v>398248.78205128206</v>
      </c>
      <c r="G29" s="32">
        <f>G16/G17*1000</f>
        <v>418396.79462323897</v>
      </c>
      <c r="H29" s="32">
        <f>H16/H17*1000</f>
        <v>442145.78398104873</v>
      </c>
    </row>
    <row r="30" spans="1:4" ht="12.75">
      <c r="A30" s="8"/>
      <c r="B30" s="8"/>
      <c r="C30" s="8"/>
      <c r="D30" s="8"/>
    </row>
    <row r="31" ht="12.75">
      <c r="A31" t="s">
        <v>21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  <headerFooter alignWithMargins="0">
    <oddHeader>&amp;R&amp;"Arial CE,Tučné"&amp;12&amp;UPříloha č. 6 b)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L12" sqref="L12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1.75390625" style="0" customWidth="1"/>
    <col min="5" max="7" width="12.25390625" style="0" customWidth="1"/>
    <col min="8" max="8" width="11.87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9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4</v>
      </c>
      <c r="B10" s="11">
        <v>190074199</v>
      </c>
      <c r="C10" s="11">
        <v>208234368</v>
      </c>
      <c r="D10" s="46">
        <v>274774314</v>
      </c>
      <c r="E10" s="46">
        <v>292594659</v>
      </c>
      <c r="F10" s="46">
        <v>233094216</v>
      </c>
      <c r="G10" s="46">
        <v>115227813</v>
      </c>
      <c r="H10" s="46">
        <v>121103833</v>
      </c>
    </row>
    <row r="11" spans="1:8" ht="12.75">
      <c r="A11" s="3" t="s">
        <v>7</v>
      </c>
      <c r="B11" s="11">
        <v>358223</v>
      </c>
      <c r="C11" s="11">
        <v>631587</v>
      </c>
      <c r="D11" s="12">
        <v>939987</v>
      </c>
      <c r="E11" s="12">
        <v>862121</v>
      </c>
      <c r="F11" s="12">
        <v>731654</v>
      </c>
      <c r="G11" s="12">
        <v>788166</v>
      </c>
      <c r="H11" s="12">
        <v>798270</v>
      </c>
    </row>
    <row r="12" spans="1:8" ht="12.75">
      <c r="A12" s="4" t="s">
        <v>5</v>
      </c>
      <c r="B12" s="13">
        <f aca="true" t="shared" si="0" ref="B12:H12">SUM(B10:B11)</f>
        <v>190432422</v>
      </c>
      <c r="C12" s="13">
        <f t="shared" si="0"/>
        <v>208865955</v>
      </c>
      <c r="D12" s="14">
        <f t="shared" si="0"/>
        <v>275714301</v>
      </c>
      <c r="E12" s="14">
        <f t="shared" si="0"/>
        <v>293456780</v>
      </c>
      <c r="F12" s="14">
        <f t="shared" si="0"/>
        <v>233825870</v>
      </c>
      <c r="G12" s="14">
        <f t="shared" si="0"/>
        <v>116015979</v>
      </c>
      <c r="H12" s="14">
        <f t="shared" si="0"/>
        <v>121902103</v>
      </c>
    </row>
    <row r="13" spans="1:8" ht="12.75">
      <c r="A13" s="4" t="s">
        <v>6</v>
      </c>
      <c r="B13" s="13">
        <v>4125119</v>
      </c>
      <c r="C13" s="13">
        <v>3943229</v>
      </c>
      <c r="D13" s="14">
        <v>4245469</v>
      </c>
      <c r="E13" s="14">
        <v>4701540</v>
      </c>
      <c r="F13" s="14">
        <v>4741003</v>
      </c>
      <c r="G13" s="14">
        <v>4639068</v>
      </c>
      <c r="H13" s="14">
        <f>4542556+1</f>
        <v>4542557</v>
      </c>
    </row>
    <row r="14" spans="1:8" ht="12.75">
      <c r="A14" s="3" t="s">
        <v>16</v>
      </c>
      <c r="B14" s="11">
        <v>3016434</v>
      </c>
      <c r="C14" s="11">
        <v>3102536</v>
      </c>
      <c r="D14" s="12">
        <v>3866266</v>
      </c>
      <c r="E14" s="12">
        <v>4183606</v>
      </c>
      <c r="F14" s="12">
        <v>4151560</v>
      </c>
      <c r="G14" s="12">
        <v>4197450</v>
      </c>
      <c r="H14" s="12">
        <f>4119632+1</f>
        <v>4119633</v>
      </c>
    </row>
    <row r="15" spans="1:8" ht="12.75">
      <c r="A15" s="4" t="s">
        <v>22</v>
      </c>
      <c r="B15" s="17"/>
      <c r="C15" s="17"/>
      <c r="D15" s="18">
        <f>D13-25217</f>
        <v>4220252</v>
      </c>
      <c r="E15" s="57">
        <f>E13-96976</f>
        <v>4604564</v>
      </c>
      <c r="F15" s="57">
        <f>F13-210305</f>
        <v>4530698</v>
      </c>
      <c r="G15" s="57">
        <f>G13-327647</f>
        <v>4311421</v>
      </c>
      <c r="H15" s="57">
        <f>H13-182769</f>
        <v>4359788</v>
      </c>
    </row>
    <row r="16" spans="1:8" ht="12.75">
      <c r="A16" s="3" t="s">
        <v>16</v>
      </c>
      <c r="B16" s="15"/>
      <c r="C16" s="15"/>
      <c r="D16" s="16">
        <f>D14-9067</f>
        <v>3857199</v>
      </c>
      <c r="E16" s="56">
        <f>E14-4333</f>
        <v>4179273</v>
      </c>
      <c r="F16" s="56">
        <f>F14-121633</f>
        <v>4029927</v>
      </c>
      <c r="G16" s="56">
        <f>G14-168110</f>
        <v>4029340</v>
      </c>
      <c r="H16" s="56">
        <f>H14-17483</f>
        <v>4102150</v>
      </c>
    </row>
    <row r="17" spans="1:8" ht="13.5" thickBot="1">
      <c r="A17" s="33" t="s">
        <v>3</v>
      </c>
      <c r="B17" s="34">
        <v>9173</v>
      </c>
      <c r="C17" s="34">
        <v>9267</v>
      </c>
      <c r="D17" s="35">
        <v>9221</v>
      </c>
      <c r="E17" s="48">
        <v>9164</v>
      </c>
      <c r="F17" s="48">
        <v>7867</v>
      </c>
      <c r="G17" s="48">
        <v>7029</v>
      </c>
      <c r="H17" s="48">
        <v>6762</v>
      </c>
    </row>
    <row r="18" spans="1:4" ht="12.75">
      <c r="A18" s="36"/>
      <c r="B18" s="37"/>
      <c r="C18" s="37"/>
      <c r="D18" s="37"/>
    </row>
    <row r="19" spans="1:7" s="52" customFormat="1" ht="12.75">
      <c r="A19" s="49"/>
      <c r="B19" s="50"/>
      <c r="C19" s="50"/>
      <c r="D19" s="50"/>
      <c r="E19" s="51"/>
      <c r="F19" s="51"/>
      <c r="G19" s="51"/>
    </row>
    <row r="20" spans="1:7" ht="13.5" thickBot="1">
      <c r="A20" s="38"/>
      <c r="B20" s="39"/>
      <c r="C20" s="39"/>
      <c r="E20" s="43"/>
      <c r="F20" s="43"/>
      <c r="G20" s="43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10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23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8</v>
      </c>
      <c r="B24" s="21">
        <f>B12/B13</f>
        <v>46.164103871912545</v>
      </c>
      <c r="C24" s="21">
        <f>C12/C13</f>
        <v>52.968253936050885</v>
      </c>
      <c r="D24" s="22">
        <f>D12/D15</f>
        <v>65.33124112019851</v>
      </c>
      <c r="E24" s="22">
        <f>E12/E15</f>
        <v>63.73171922466492</v>
      </c>
      <c r="F24" s="22">
        <f>F12/F15</f>
        <v>51.60923769361807</v>
      </c>
      <c r="G24" s="22">
        <f>G12/G15</f>
        <v>26.908988706971552</v>
      </c>
      <c r="H24" s="22">
        <f>H12/H15</f>
        <v>27.960557485822704</v>
      </c>
    </row>
    <row r="25" spans="1:8" ht="13.5" thickBot="1">
      <c r="A25" s="5" t="s">
        <v>20</v>
      </c>
      <c r="B25" s="15">
        <f aca="true" t="shared" si="1" ref="B25:H25">B12/B17*1000</f>
        <v>20760102.692685053</v>
      </c>
      <c r="C25" s="15">
        <f t="shared" si="1"/>
        <v>22538680.80284882</v>
      </c>
      <c r="D25" s="12">
        <f t="shared" si="1"/>
        <v>29900694.176336624</v>
      </c>
      <c r="E25" s="12">
        <f t="shared" si="1"/>
        <v>32022782.627673507</v>
      </c>
      <c r="F25" s="12">
        <f t="shared" si="1"/>
        <v>29722368.119994916</v>
      </c>
      <c r="G25" s="12">
        <f t="shared" si="1"/>
        <v>16505332.052923601</v>
      </c>
      <c r="H25" s="12">
        <f t="shared" si="1"/>
        <v>18027521.887015674</v>
      </c>
    </row>
    <row r="26" spans="1:8" ht="12.75">
      <c r="A26" s="44" t="s">
        <v>24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17</v>
      </c>
      <c r="B27" s="21">
        <f>B13/B12</f>
        <v>0.021661852307901644</v>
      </c>
      <c r="C27" s="21">
        <f>C13/C12</f>
        <v>0.018879232855349738</v>
      </c>
      <c r="D27" s="22">
        <f>D15/D12*100</f>
        <v>1.5306612622897642</v>
      </c>
      <c r="E27" s="22">
        <f>E15/E12*100</f>
        <v>1.5690773953152488</v>
      </c>
      <c r="F27" s="22">
        <f>F15/F12*100</f>
        <v>1.9376376104149637</v>
      </c>
      <c r="G27" s="22">
        <f>G15/G12*100</f>
        <v>3.7162303306512627</v>
      </c>
      <c r="H27" s="22">
        <f>H15/H12*100</f>
        <v>3.576466601236568</v>
      </c>
    </row>
    <row r="28" spans="1:8" ht="12.75">
      <c r="A28" s="3" t="s">
        <v>18</v>
      </c>
      <c r="B28" s="11">
        <f>B13/B17*1000</f>
        <v>449702.2784258149</v>
      </c>
      <c r="C28" s="11">
        <f>C13/C17*1000</f>
        <v>425513.00312938384</v>
      </c>
      <c r="D28" s="12">
        <f>D15/D17*1000</f>
        <v>457678.34291291615</v>
      </c>
      <c r="E28" s="12">
        <f>E15/E17*1000</f>
        <v>502462.24356176343</v>
      </c>
      <c r="F28" s="12">
        <f>F15/F17*1000</f>
        <v>575911.7833990086</v>
      </c>
      <c r="G28" s="12">
        <f>G15/G17*1000</f>
        <v>613376.1559254517</v>
      </c>
      <c r="H28" s="12">
        <f>H15/H17*1000</f>
        <v>644748.2993197278</v>
      </c>
    </row>
    <row r="29" spans="1:8" ht="13.5" thickBot="1">
      <c r="A29" s="7" t="s">
        <v>19</v>
      </c>
      <c r="B29" s="31">
        <f>B14/B17*1000</f>
        <v>328838.32988117303</v>
      </c>
      <c r="C29" s="31">
        <f>C14/C17*1000</f>
        <v>334794.0002158196</v>
      </c>
      <c r="D29" s="32">
        <f>D16/D17*1000</f>
        <v>418305.93211148464</v>
      </c>
      <c r="E29" s="32">
        <f>E16/E17*1000</f>
        <v>456053.360977739</v>
      </c>
      <c r="F29" s="32">
        <f>F16/F17*1000</f>
        <v>512257.15012075764</v>
      </c>
      <c r="G29" s="32">
        <f>G16/G17*1000</f>
        <v>573245.1273296344</v>
      </c>
      <c r="H29" s="32">
        <f>H16/H17*1000</f>
        <v>606647.4415853298</v>
      </c>
    </row>
    <row r="30" spans="1:4" ht="12.75">
      <c r="A30" s="8"/>
      <c r="B30" s="8"/>
      <c r="C30" s="8"/>
      <c r="D30" s="8"/>
    </row>
    <row r="31" spans="1:6" ht="12.75">
      <c r="A31" s="53" t="s">
        <v>21</v>
      </c>
      <c r="D31" s="54"/>
      <c r="E31" s="54"/>
      <c r="F31" s="54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  <headerFooter alignWithMargins="0">
    <oddHeader>&amp;R&amp;"Arial CE,Tučné"&amp;12&amp;UPříloha č. 6 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L1" sqref="L1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customWidth="1"/>
    <col min="5" max="5" width="10.00390625" style="0" customWidth="1"/>
    <col min="6" max="7" width="10.25390625" style="0" customWidth="1"/>
  </cols>
  <sheetData>
    <row r="1" ht="12.75">
      <c r="L1" s="58"/>
    </row>
    <row r="4" spans="1:8" ht="12.75">
      <c r="A4" s="1" t="s">
        <v>15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9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0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4</v>
      </c>
      <c r="B10" s="11"/>
      <c r="C10" s="11"/>
      <c r="D10" s="12"/>
      <c r="E10" s="12"/>
      <c r="F10" s="12"/>
      <c r="G10" s="12"/>
      <c r="H10" s="12"/>
    </row>
    <row r="11" spans="1:8" ht="12.75">
      <c r="A11" s="3" t="s">
        <v>7</v>
      </c>
      <c r="B11" s="11"/>
      <c r="C11" s="11"/>
      <c r="D11" s="12">
        <f>62821-1</f>
        <v>62820</v>
      </c>
      <c r="E11" s="12">
        <v>385269</v>
      </c>
      <c r="F11" s="12">
        <v>592781</v>
      </c>
      <c r="G11" s="12">
        <v>576848</v>
      </c>
      <c r="H11" s="12">
        <v>991928</v>
      </c>
    </row>
    <row r="12" spans="1:8" ht="12.75">
      <c r="A12" s="4" t="s">
        <v>5</v>
      </c>
      <c r="B12" s="13"/>
      <c r="C12" s="13"/>
      <c r="D12" s="14">
        <f>D10+D11</f>
        <v>62820</v>
      </c>
      <c r="E12" s="14">
        <f>E10+E11</f>
        <v>385269</v>
      </c>
      <c r="F12" s="14">
        <f>F10+F11</f>
        <v>592781</v>
      </c>
      <c r="G12" s="14">
        <f>G10+G11</f>
        <v>576848</v>
      </c>
      <c r="H12" s="14">
        <f>H10+H11</f>
        <v>991928</v>
      </c>
    </row>
    <row r="13" spans="1:8" ht="12.75">
      <c r="A13" s="4" t="s">
        <v>6</v>
      </c>
      <c r="B13" s="13"/>
      <c r="C13" s="13"/>
      <c r="D13" s="14">
        <v>106702</v>
      </c>
      <c r="E13" s="14">
        <v>1639374</v>
      </c>
      <c r="F13" s="14">
        <v>1511642</v>
      </c>
      <c r="G13" s="14">
        <v>1783580</v>
      </c>
      <c r="H13" s="14">
        <v>1919410</v>
      </c>
    </row>
    <row r="14" spans="1:8" ht="12.75">
      <c r="A14" s="3" t="s">
        <v>2</v>
      </c>
      <c r="B14" s="11"/>
      <c r="C14" s="11"/>
      <c r="D14" s="12">
        <v>93267</v>
      </c>
      <c r="E14" s="12">
        <v>1582611</v>
      </c>
      <c r="F14" s="12">
        <v>1381582</v>
      </c>
      <c r="G14" s="12">
        <v>1483152</v>
      </c>
      <c r="H14" s="12">
        <v>1620458</v>
      </c>
    </row>
    <row r="15" spans="1:8" ht="12.75">
      <c r="A15" s="4" t="s">
        <v>22</v>
      </c>
      <c r="B15" s="15"/>
      <c r="C15" s="15"/>
      <c r="D15" s="18">
        <f>D13-2620</f>
        <v>104082</v>
      </c>
      <c r="E15" s="57">
        <f>E13-17075</f>
        <v>1622299</v>
      </c>
      <c r="F15" s="57">
        <f>F13-178110</f>
        <v>1333532</v>
      </c>
      <c r="G15" s="57">
        <f>G13-305297</f>
        <v>1478283</v>
      </c>
      <c r="H15" s="57">
        <f>H13-342372</f>
        <v>1577038</v>
      </c>
    </row>
    <row r="16" spans="1:8" ht="12.75">
      <c r="A16" s="3" t="s">
        <v>2</v>
      </c>
      <c r="B16" s="15"/>
      <c r="C16" s="15"/>
      <c r="D16" s="16">
        <f>D14-2620</f>
        <v>90647</v>
      </c>
      <c r="E16" s="56">
        <f>E14-15166</f>
        <v>1567445</v>
      </c>
      <c r="F16" s="56">
        <f>F14-154959</f>
        <v>1226623</v>
      </c>
      <c r="G16" s="56">
        <f>G14-187590</f>
        <v>1295562</v>
      </c>
      <c r="H16" s="56">
        <f>H14-213299</f>
        <v>1407159</v>
      </c>
    </row>
    <row r="17" spans="1:8" ht="13.5" thickBot="1">
      <c r="A17" s="10" t="s">
        <v>3</v>
      </c>
      <c r="B17" s="17"/>
      <c r="C17" s="17"/>
      <c r="D17" s="18">
        <v>158</v>
      </c>
      <c r="E17" s="48">
        <v>2728</v>
      </c>
      <c r="F17" s="48">
        <v>2043</v>
      </c>
      <c r="G17" s="48">
        <v>2045</v>
      </c>
      <c r="H17" s="48">
        <v>2052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10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23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8</v>
      </c>
      <c r="B24" s="21" t="e">
        <f>B12/B13</f>
        <v>#DIV/0!</v>
      </c>
      <c r="C24" s="21" t="e">
        <f>C12/C13</f>
        <v>#DIV/0!</v>
      </c>
      <c r="D24" s="22">
        <f>D12/D15</f>
        <v>0.6035625756614976</v>
      </c>
      <c r="E24" s="22">
        <f>E12/E15</f>
        <v>0.2374833492469637</v>
      </c>
      <c r="F24" s="22">
        <f>F12/F15</f>
        <v>0.44451951659202776</v>
      </c>
      <c r="G24" s="22">
        <f>G12/G15</f>
        <v>0.3902148641362987</v>
      </c>
      <c r="H24" s="22">
        <f>H12/H15</f>
        <v>0.6289816732380576</v>
      </c>
    </row>
    <row r="25" spans="1:8" ht="13.5" thickBot="1">
      <c r="A25" s="5" t="s">
        <v>20</v>
      </c>
      <c r="B25" s="15" t="e">
        <f aca="true" t="shared" si="0" ref="B25:H25">B12/B17*1000</f>
        <v>#DIV/0!</v>
      </c>
      <c r="C25" s="15" t="e">
        <f t="shared" si="0"/>
        <v>#DIV/0!</v>
      </c>
      <c r="D25" s="16">
        <f t="shared" si="0"/>
        <v>397594.93670886074</v>
      </c>
      <c r="E25" s="16">
        <f t="shared" si="0"/>
        <v>141227.63929618767</v>
      </c>
      <c r="F25" s="16">
        <f t="shared" si="0"/>
        <v>290152.22711698484</v>
      </c>
      <c r="G25" s="16">
        <f t="shared" si="0"/>
        <v>282077.2616136919</v>
      </c>
      <c r="H25" s="16">
        <f t="shared" si="0"/>
        <v>483395.71150097466</v>
      </c>
    </row>
    <row r="26" spans="1:8" ht="12.75">
      <c r="A26" s="44" t="s">
        <v>24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17</v>
      </c>
      <c r="B27" s="21" t="e">
        <f>B13/B12</f>
        <v>#DIV/0!</v>
      </c>
      <c r="C27" s="21" t="e">
        <f>C13/C12</f>
        <v>#DIV/0!</v>
      </c>
      <c r="D27" s="22">
        <f>D15/D12*100</f>
        <v>165.6829035339064</v>
      </c>
      <c r="E27" s="22">
        <f>E15/E12*100</f>
        <v>421.0821529892101</v>
      </c>
      <c r="F27" s="22">
        <f>F15/F12*100</f>
        <v>224.96200114376137</v>
      </c>
      <c r="G27" s="22">
        <f>G15/G12*100</f>
        <v>256.26906914819847</v>
      </c>
      <c r="H27" s="22">
        <f>H15/H12*100</f>
        <v>158.98714422821013</v>
      </c>
    </row>
    <row r="28" spans="1:8" ht="12.75">
      <c r="A28" s="3" t="s">
        <v>18</v>
      </c>
      <c r="B28" s="11" t="e">
        <f>B13/B17*1000</f>
        <v>#DIV/0!</v>
      </c>
      <c r="C28" s="11" t="e">
        <f>C13/C17*1000</f>
        <v>#DIV/0!</v>
      </c>
      <c r="D28" s="12">
        <f>D15/D17*1000</f>
        <v>658746.835443038</v>
      </c>
      <c r="E28" s="12">
        <f>E15/E17*1000</f>
        <v>594684.3841642229</v>
      </c>
      <c r="F28" s="12">
        <f>F15/F17*1000</f>
        <v>652732.2564855604</v>
      </c>
      <c r="G28" s="12">
        <f>G15/G17*1000</f>
        <v>722876.7726161369</v>
      </c>
      <c r="H28" s="12">
        <f>H15/H17*1000</f>
        <v>768537.0370370371</v>
      </c>
    </row>
    <row r="29" spans="1:8" ht="13.5" thickBot="1">
      <c r="A29" s="7" t="s">
        <v>19</v>
      </c>
      <c r="B29" s="31" t="e">
        <f>B14/B17*1000</f>
        <v>#DIV/0!</v>
      </c>
      <c r="C29" s="31" t="e">
        <f>C14/C17*1000</f>
        <v>#DIV/0!</v>
      </c>
      <c r="D29" s="32">
        <f>D16/D17*1000</f>
        <v>573715.1898734177</v>
      </c>
      <c r="E29" s="32">
        <f>E16/E17*1000</f>
        <v>574576.6129032258</v>
      </c>
      <c r="F29" s="32">
        <f>F16/F17*1000</f>
        <v>600402.8389623102</v>
      </c>
      <c r="G29" s="32">
        <f>G16/G17*1000</f>
        <v>633526.6503667482</v>
      </c>
      <c r="H29" s="32">
        <f>H16/H17*1000</f>
        <v>685750</v>
      </c>
    </row>
    <row r="30" spans="1:4" ht="12.75">
      <c r="A30" s="8"/>
      <c r="B30" s="8"/>
      <c r="C30" s="8"/>
      <c r="D30" s="8"/>
    </row>
    <row r="31" ht="12.75">
      <c r="A31" t="s">
        <v>21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  <headerFooter alignWithMargins="0">
    <oddHeader>&amp;R&amp;"Arial CE,Tučné"&amp;12&amp;UPříloha č. 6 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K19" sqref="K19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00390625" style="0" customWidth="1"/>
    <col min="5" max="6" width="12.25390625" style="0" customWidth="1"/>
    <col min="7" max="8" width="12.00390625" style="0" customWidth="1"/>
    <col min="10" max="10" width="10.125" style="0" bestFit="1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H7" s="9" t="s">
        <v>9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4</v>
      </c>
      <c r="B10" s="11">
        <f>SUM(MF:ÚFO!B10)</f>
        <v>166015000</v>
      </c>
      <c r="C10" s="11">
        <f>SUM(MF:ÚFO!C10)</f>
        <v>171354000</v>
      </c>
      <c r="D10" s="47">
        <f>SUM(MF:ÚZSVM!D10)</f>
        <v>483625015</v>
      </c>
      <c r="E10" s="47">
        <f>SUM(MF:ÚZSVM!E10)</f>
        <v>518229659</v>
      </c>
      <c r="F10" s="47">
        <f>SUM(MF:ÚZSVM!F10)</f>
        <v>556546216</v>
      </c>
      <c r="G10" s="47">
        <f>SUM(MF:ÚZSVM!G10)</f>
        <v>629751813</v>
      </c>
      <c r="H10" s="47">
        <f>SUM(MF:ÚZSVM!H10)</f>
        <v>634829833</v>
      </c>
    </row>
    <row r="11" spans="1:8" ht="12.75">
      <c r="A11" s="3" t="s">
        <v>7</v>
      </c>
      <c r="B11" s="11">
        <f>SUM(MF:ÚFO!B11)</f>
        <v>83709</v>
      </c>
      <c r="C11" s="11">
        <f>SUM(MF:ÚFO!C11)</f>
        <v>41806</v>
      </c>
      <c r="D11" s="12">
        <f>SUM(MF:ÚZSVM!D11)</f>
        <v>1265126</v>
      </c>
      <c r="E11" s="12">
        <f>SUM(MF:ÚZSVM!E11)</f>
        <v>1381819</v>
      </c>
      <c r="F11" s="12">
        <f>SUM(MF:ÚZSVM!F11)</f>
        <v>1719061</v>
      </c>
      <c r="G11" s="12">
        <f>SUM(MF:ÚZSVM!G11)</f>
        <v>1972300</v>
      </c>
      <c r="H11" s="12">
        <f>SUM(MF:ÚZSVM!H11)</f>
        <v>2548927</v>
      </c>
    </row>
    <row r="12" spans="1:8" ht="12.75">
      <c r="A12" s="4" t="s">
        <v>5</v>
      </c>
      <c r="B12" s="13">
        <f>SUM(B10:B11)</f>
        <v>166098709</v>
      </c>
      <c r="C12" s="13">
        <f>SUM(C10:C11)</f>
        <v>171395806</v>
      </c>
      <c r="D12" s="14">
        <f>SUM(MF:ÚZSVM!D12)</f>
        <v>484890141</v>
      </c>
      <c r="E12" s="14">
        <f>SUM(MF:ÚZSVM!E12)</f>
        <v>519611478</v>
      </c>
      <c r="F12" s="14">
        <f>SUM(MF:ÚZSVM!F12)</f>
        <v>558265277</v>
      </c>
      <c r="G12" s="14">
        <f>SUM(MF:ÚZSVM!G12)</f>
        <v>631724113</v>
      </c>
      <c r="H12" s="14">
        <f>SUM(MF:ÚZSVM!H12)</f>
        <v>637378760</v>
      </c>
    </row>
    <row r="13" spans="1:10" ht="12.75">
      <c r="A13" s="4" t="s">
        <v>6</v>
      </c>
      <c r="B13" s="13">
        <f>SUM(MF:ÚFO!B13)</f>
        <v>6143754</v>
      </c>
      <c r="C13" s="13">
        <f>SUM(MF:ÚFO!C13)</f>
        <v>5946520</v>
      </c>
      <c r="D13" s="14">
        <f>SUM(MF:ÚZSVM!D13)</f>
        <v>12539294</v>
      </c>
      <c r="E13" s="14">
        <f>SUM(MF:ÚZSVM!E13)</f>
        <v>15041871</v>
      </c>
      <c r="F13" s="14">
        <f>SUM(MF:ÚZSVM!F13)</f>
        <v>15372046</v>
      </c>
      <c r="G13" s="14">
        <f>SUM(MF:ÚZSVM!G13)</f>
        <v>16084506</v>
      </c>
      <c r="H13" s="14">
        <f>SUM(MF:ÚZSVM!H13)</f>
        <v>16443648</v>
      </c>
      <c r="J13" s="54"/>
    </row>
    <row r="14" spans="1:10" ht="12.75">
      <c r="A14" s="3" t="s">
        <v>16</v>
      </c>
      <c r="B14" s="11">
        <f>SUM(MF:ÚFO!B14)</f>
        <v>4878170</v>
      </c>
      <c r="C14" s="11">
        <f>SUM(MF:ÚFO!C14)</f>
        <v>4841936</v>
      </c>
      <c r="D14" s="12">
        <f>SUM(MF:ÚZSVM!D14)</f>
        <v>11187119</v>
      </c>
      <c r="E14" s="12">
        <f>SUM(MF:ÚZSVM!E14)</f>
        <v>13457043</v>
      </c>
      <c r="F14" s="12">
        <f>SUM(MF:ÚZSVM!F14)</f>
        <v>13655337</v>
      </c>
      <c r="G14" s="12">
        <f>SUM(MF:ÚZSVM!G14)</f>
        <v>14296148</v>
      </c>
      <c r="H14" s="12">
        <f>SUM(MF:ÚZSVM!H14)</f>
        <v>14743409</v>
      </c>
      <c r="J14" s="54"/>
    </row>
    <row r="15" spans="1:8" ht="12.75">
      <c r="A15" s="4" t="s">
        <v>22</v>
      </c>
      <c r="B15" s="15"/>
      <c r="C15" s="15"/>
      <c r="D15" s="18">
        <f>SUM(MF:ÚZSVM!D15)</f>
        <v>12447183</v>
      </c>
      <c r="E15" s="57">
        <f>SUM(MF:ÚZSVM!E15)</f>
        <v>14828119</v>
      </c>
      <c r="F15" s="57">
        <f>SUM(MF:ÚZSVM!F15)</f>
        <v>14580075</v>
      </c>
      <c r="G15" s="57">
        <f>SUM(MF:ÚZSVM!G15)</f>
        <v>14808860</v>
      </c>
      <c r="H15" s="57">
        <f>SUM(MF:ÚZSVM!H15)</f>
        <v>15450193</v>
      </c>
    </row>
    <row r="16" spans="1:8" ht="12.75">
      <c r="A16" s="3" t="s">
        <v>16</v>
      </c>
      <c r="B16" s="15"/>
      <c r="C16" s="15"/>
      <c r="D16" s="16">
        <f>SUM(MF:ÚZSVM!D16)</f>
        <v>11131774</v>
      </c>
      <c r="E16" s="56">
        <f>SUM(MF:ÚZSVM!E16)</f>
        <v>13375477</v>
      </c>
      <c r="F16" s="56">
        <f>SUM(MF:ÚZSVM!F16)</f>
        <v>13135030</v>
      </c>
      <c r="G16" s="56">
        <f>SUM(MF:ÚZSVM!G16)</f>
        <v>13683704</v>
      </c>
      <c r="H16" s="56">
        <f>SUM(MF:ÚZSVM!H16)</f>
        <v>14296439</v>
      </c>
    </row>
    <row r="17" spans="1:8" ht="13.5" thickBot="1">
      <c r="A17" s="33" t="s">
        <v>3</v>
      </c>
      <c r="B17" s="34">
        <f>SUM(MF:ÚFO!B17)</f>
        <v>15280</v>
      </c>
      <c r="C17" s="34">
        <f>SUM(MF:ÚFO!C17)</f>
        <v>15264</v>
      </c>
      <c r="D17" s="35">
        <f>SUM(MF:ÚZSVM!D17)</f>
        <v>26428</v>
      </c>
      <c r="E17" s="48">
        <f>SUM(MF:ÚZSVM!E17)</f>
        <v>29002</v>
      </c>
      <c r="F17" s="48">
        <f>SUM(MF:ÚZSVM!F17)</f>
        <v>26959</v>
      </c>
      <c r="G17" s="48">
        <f>SUM(MF:ÚZSVM!G17)</f>
        <v>25959</v>
      </c>
      <c r="H17" s="48">
        <f>SUM(MF:ÚZSVM!H17)</f>
        <v>25719</v>
      </c>
    </row>
    <row r="18" spans="1:4" ht="12.75">
      <c r="A18" s="36"/>
      <c r="B18" s="37"/>
      <c r="C18" s="37"/>
      <c r="D18" s="39"/>
    </row>
    <row r="19" spans="1:7" ht="12.75">
      <c r="A19" s="49"/>
      <c r="B19" s="50"/>
      <c r="C19" s="50"/>
      <c r="D19" s="50"/>
      <c r="E19" s="51"/>
      <c r="F19" s="51"/>
      <c r="G19" s="51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10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23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8</v>
      </c>
      <c r="B24" s="21">
        <f>B12/B13</f>
        <v>27.035377555807084</v>
      </c>
      <c r="C24" s="21">
        <f>C12/C13</f>
        <v>28.82287556419553</v>
      </c>
      <c r="D24" s="22">
        <f>D12/D15</f>
        <v>38.95581361662313</v>
      </c>
      <c r="E24" s="22">
        <f>E12/E15</f>
        <v>35.04230563566424</v>
      </c>
      <c r="F24" s="22">
        <f>F12/F15</f>
        <v>38.28960255691415</v>
      </c>
      <c r="G24" s="22">
        <f>G12/G15</f>
        <v>42.658524221310756</v>
      </c>
      <c r="H24" s="22">
        <f>H12/H15</f>
        <v>41.25377333474087</v>
      </c>
    </row>
    <row r="25" spans="1:8" ht="13.5" thickBot="1">
      <c r="A25" s="5" t="s">
        <v>20</v>
      </c>
      <c r="B25" s="15">
        <f aca="true" t="shared" si="0" ref="B25:H25">B12/B17*1000</f>
        <v>10870334.358638743</v>
      </c>
      <c r="C25" s="15">
        <f t="shared" si="0"/>
        <v>11228760.875262054</v>
      </c>
      <c r="D25" s="16">
        <f t="shared" si="0"/>
        <v>18347591.228999548</v>
      </c>
      <c r="E25" s="16">
        <f t="shared" si="0"/>
        <v>17916401.55851321</v>
      </c>
      <c r="F25" s="16">
        <f t="shared" si="0"/>
        <v>20707937.126748025</v>
      </c>
      <c r="G25" s="16">
        <f t="shared" si="0"/>
        <v>24335456.41203436</v>
      </c>
      <c r="H25" s="16">
        <f t="shared" si="0"/>
        <v>24782408.336249463</v>
      </c>
    </row>
    <row r="26" spans="1:8" ht="12.75">
      <c r="A26" s="44" t="s">
        <v>24</v>
      </c>
      <c r="B26" s="23"/>
      <c r="C26" s="23"/>
      <c r="D26" s="24"/>
      <c r="E26" s="24"/>
      <c r="F26" s="24"/>
      <c r="G26" s="24"/>
      <c r="H26" s="24"/>
    </row>
    <row r="27" spans="1:8" ht="12.75">
      <c r="A27" s="3" t="s">
        <v>17</v>
      </c>
      <c r="B27" s="21">
        <f>B13/B12</f>
        <v>0.03698857165711023</v>
      </c>
      <c r="C27" s="21">
        <f>C13/C12</f>
        <v>0.03469466458239941</v>
      </c>
      <c r="D27" s="22">
        <f>D15/D12*100</f>
        <v>2.567010946918799</v>
      </c>
      <c r="E27" s="22">
        <f>E15/E12*100</f>
        <v>2.8536935052077506</v>
      </c>
      <c r="F27" s="22">
        <f>F15/F12*100</f>
        <v>2.6116750585582276</v>
      </c>
      <c r="G27" s="22">
        <f>G15/G12*100</f>
        <v>2.3441973632562605</v>
      </c>
      <c r="H27" s="22">
        <f>H15/H12*100</f>
        <v>2.424020687479451</v>
      </c>
    </row>
    <row r="28" spans="1:8" ht="12.75">
      <c r="A28" s="3" t="s">
        <v>18</v>
      </c>
      <c r="B28" s="11">
        <f>B13/B17*1000</f>
        <v>402078.14136125654</v>
      </c>
      <c r="C28" s="11">
        <f>C13/C17*1000</f>
        <v>389578.09224318655</v>
      </c>
      <c r="D28" s="12">
        <f>D15/D17*1000</f>
        <v>470984.6753443318</v>
      </c>
      <c r="E28" s="12">
        <f>E15/E17*1000</f>
        <v>511279.1876422316</v>
      </c>
      <c r="F28" s="12">
        <f>F15/F17*1000</f>
        <v>540824.0290811975</v>
      </c>
      <c r="G28" s="12">
        <f>G15/G17*1000</f>
        <v>570471.1275472861</v>
      </c>
      <c r="H28" s="12">
        <f>H15/H17*1000</f>
        <v>600730.7049263191</v>
      </c>
    </row>
    <row r="29" spans="1:8" ht="13.5" thickBot="1">
      <c r="A29" s="7" t="s">
        <v>19</v>
      </c>
      <c r="B29" s="31">
        <f>B14/B17*1000</f>
        <v>319251.9633507853</v>
      </c>
      <c r="C29" s="31">
        <f>C14/C17*1000</f>
        <v>317212.7882599581</v>
      </c>
      <c r="D29" s="32">
        <f>D16/D17*1000</f>
        <v>421211.3667322537</v>
      </c>
      <c r="E29" s="32">
        <f>E16/E17*1000</f>
        <v>461191.5385145852</v>
      </c>
      <c r="F29" s="32">
        <f>F16/F17*1000</f>
        <v>487222.44890389114</v>
      </c>
      <c r="G29" s="32">
        <f>G16/G17*1000</f>
        <v>527127.547286105</v>
      </c>
      <c r="H29" s="32">
        <f>H16/H17*1000</f>
        <v>555870.7181461176</v>
      </c>
    </row>
    <row r="30" spans="1:4" ht="12.75">
      <c r="A30" s="8"/>
      <c r="B30" s="8"/>
      <c r="C30" s="8"/>
      <c r="D30" s="45"/>
    </row>
    <row r="31" spans="1:6" ht="12.75">
      <c r="A31" s="53" t="s">
        <v>21</v>
      </c>
      <c r="D31" s="55"/>
      <c r="E31" s="55"/>
      <c r="F31" s="55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  <headerFooter alignWithMargins="0">
    <oddHeader>&amp;R&amp;"Arial CE,Tučné"&amp;12&amp;UPříloha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